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grimm\appdata\local\bentley\projectwise\workingdir\ohiodot-pw.bentley.com_ohiodot-pw-02\jon.grimm@ohm-advisors.com\d0745865\"/>
    </mc:Choice>
  </mc:AlternateContent>
  <xr:revisionPtr revIDLastSave="0" documentId="13_ncr:1_{63CF431A-FCA3-4AB6-974B-EB030FE713C5}" xr6:coauthVersionLast="47" xr6:coauthVersionMax="47" xr10:uidLastSave="{00000000-0000-0000-0000-000000000000}"/>
  <bookViews>
    <workbookView xWindow="-28440" yWindow="1635" windowWidth="21630" windowHeight="11250" activeTab="3" xr2:uid="{00000000-000D-0000-FFFF-FFFF00000000}"/>
  </bookViews>
  <sheets>
    <sheet name="PAVEMENT MARKING" sheetId="3" r:id="rId1"/>
    <sheet name="SIGNING" sheetId="2" r:id="rId2"/>
    <sheet name=" COMBINED" sheetId="1" state="hidden" r:id="rId3"/>
    <sheet name="Traffic control subsummary" sheetId="4" r:id="rId4"/>
  </sheets>
  <externalReferences>
    <externalReference r:id="rId5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8" i="3" l="1"/>
  <c r="M658" i="3"/>
  <c r="N658" i="3"/>
  <c r="O658" i="3"/>
  <c r="P658" i="3"/>
  <c r="Q658" i="3"/>
  <c r="R658" i="3"/>
  <c r="S658" i="3"/>
  <c r="T658" i="3"/>
  <c r="U658" i="3"/>
  <c r="V658" i="3"/>
  <c r="W658" i="3"/>
  <c r="X658" i="3"/>
  <c r="Y658" i="3"/>
  <c r="Z658" i="3"/>
  <c r="AA658" i="3"/>
  <c r="AB658" i="3"/>
  <c r="AC658" i="3"/>
  <c r="AD658" i="3"/>
  <c r="AE658" i="3"/>
  <c r="AF658" i="3"/>
  <c r="AG658" i="3"/>
  <c r="K658" i="3"/>
  <c r="L576" i="3"/>
  <c r="M576" i="3"/>
  <c r="N576" i="3"/>
  <c r="O576" i="3"/>
  <c r="P576" i="3"/>
  <c r="Q576" i="3"/>
  <c r="R576" i="3"/>
  <c r="S576" i="3"/>
  <c r="T576" i="3"/>
  <c r="U576" i="3"/>
  <c r="V576" i="3"/>
  <c r="W576" i="3"/>
  <c r="X576" i="3"/>
  <c r="Y576" i="3"/>
  <c r="Z576" i="3"/>
  <c r="AA576" i="3"/>
  <c r="AB576" i="3"/>
  <c r="AC576" i="3"/>
  <c r="AD576" i="3"/>
  <c r="AE576" i="3"/>
  <c r="AF576" i="3"/>
  <c r="AG576" i="3"/>
  <c r="K576" i="3"/>
  <c r="K494" i="3"/>
  <c r="S605" i="3"/>
  <c r="K603" i="3"/>
  <c r="N602" i="3"/>
  <c r="K601" i="3"/>
  <c r="N600" i="3"/>
  <c r="M599" i="3"/>
  <c r="M598" i="3"/>
  <c r="Y522" i="3"/>
  <c r="Y521" i="3"/>
  <c r="C394" i="2"/>
  <c r="C374" i="2"/>
  <c r="C370" i="2"/>
  <c r="C352" i="2"/>
  <c r="C292" i="2"/>
  <c r="C270" i="2"/>
  <c r="C226" i="2"/>
  <c r="C224" i="2"/>
  <c r="C215" i="2"/>
  <c r="C208" i="2"/>
  <c r="C206" i="2"/>
  <c r="C202" i="2"/>
  <c r="C188" i="2"/>
  <c r="C129" i="2"/>
  <c r="C115" i="2"/>
  <c r="C106" i="2"/>
  <c r="C71" i="2"/>
  <c r="C61" i="2"/>
  <c r="C54" i="2"/>
  <c r="C52" i="2"/>
  <c r="C24" i="2"/>
  <c r="C649" i="3"/>
  <c r="C647" i="3"/>
  <c r="C646" i="3"/>
  <c r="C645" i="3"/>
  <c r="C644" i="3"/>
  <c r="C643" i="3"/>
  <c r="C642" i="3"/>
  <c r="C641" i="3"/>
  <c r="C639" i="3"/>
  <c r="C638" i="3"/>
  <c r="C637" i="3"/>
  <c r="C636" i="3"/>
  <c r="C635" i="3"/>
  <c r="C634" i="3"/>
  <c r="C633" i="3"/>
  <c r="C629" i="3"/>
  <c r="C626" i="3"/>
  <c r="C624" i="3"/>
  <c r="C623" i="3"/>
  <c r="C621" i="3"/>
  <c r="C620" i="3"/>
  <c r="C616" i="3"/>
  <c r="C615" i="3"/>
  <c r="C613" i="3"/>
  <c r="C612" i="3"/>
  <c r="C608" i="3"/>
  <c r="C607" i="3"/>
  <c r="C433" i="3"/>
  <c r="C351" i="3"/>
  <c r="C269" i="3"/>
  <c r="C187" i="3"/>
  <c r="C105" i="3"/>
  <c r="C25" i="3"/>
  <c r="N70" i="4"/>
  <c r="N76" i="4"/>
  <c r="N66" i="4"/>
  <c r="N54" i="4"/>
  <c r="N53" i="4"/>
  <c r="Q412" i="2"/>
  <c r="R412" i="2"/>
  <c r="S412" i="2"/>
  <c r="T412" i="2"/>
  <c r="U412" i="2"/>
  <c r="V412" i="2"/>
  <c r="W412" i="2"/>
  <c r="X412" i="2"/>
  <c r="Y412" i="2"/>
  <c r="Z412" i="2"/>
  <c r="AA412" i="2"/>
  <c r="AB412" i="2"/>
  <c r="AC412" i="2"/>
  <c r="AD412" i="2"/>
  <c r="AE412" i="2"/>
  <c r="AF412" i="2"/>
  <c r="Q330" i="2"/>
  <c r="R330" i="2"/>
  <c r="S330" i="2"/>
  <c r="T330" i="2"/>
  <c r="U330" i="2"/>
  <c r="V330" i="2"/>
  <c r="W330" i="2"/>
  <c r="X330" i="2"/>
  <c r="N74" i="4" s="1"/>
  <c r="Y330" i="2"/>
  <c r="Z330" i="2"/>
  <c r="AA330" i="2"/>
  <c r="AB330" i="2"/>
  <c r="AC330" i="2"/>
  <c r="AD330" i="2"/>
  <c r="AE330" i="2"/>
  <c r="AF330" i="2"/>
  <c r="Q248" i="2"/>
  <c r="R248" i="2"/>
  <c r="S248" i="2"/>
  <c r="I72" i="4" s="1"/>
  <c r="T248" i="2"/>
  <c r="U248" i="2"/>
  <c r="K72" i="4" s="1"/>
  <c r="V248" i="2"/>
  <c r="L72" i="4" s="1"/>
  <c r="W248" i="2"/>
  <c r="M72" i="4" s="1"/>
  <c r="X248" i="2"/>
  <c r="N72" i="4" s="1"/>
  <c r="Y248" i="2"/>
  <c r="Z248" i="2"/>
  <c r="AA248" i="2"/>
  <c r="AB248" i="2"/>
  <c r="AC248" i="2"/>
  <c r="AD248" i="2"/>
  <c r="AE248" i="2"/>
  <c r="AF248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D84" i="2"/>
  <c r="AE84" i="2"/>
  <c r="AF84" i="2"/>
  <c r="Q84" i="2"/>
  <c r="R84" i="2"/>
  <c r="S84" i="2"/>
  <c r="T84" i="2"/>
  <c r="U84" i="2"/>
  <c r="V84" i="2"/>
  <c r="W84" i="2"/>
  <c r="X84" i="2"/>
  <c r="N68" i="4" s="1"/>
  <c r="Y84" i="2"/>
  <c r="Z84" i="2"/>
  <c r="AA84" i="2"/>
  <c r="AB84" i="2"/>
  <c r="AC84" i="2"/>
  <c r="AA147" i="3"/>
  <c r="AA148" i="3"/>
  <c r="AB149" i="3"/>
  <c r="K66" i="4"/>
  <c r="L66" i="4"/>
  <c r="M66" i="4"/>
  <c r="J54" i="4"/>
  <c r="K54" i="4"/>
  <c r="L54" i="4"/>
  <c r="M54" i="4"/>
  <c r="I53" i="4"/>
  <c r="J53" i="4"/>
  <c r="K53" i="4"/>
  <c r="L53" i="4"/>
  <c r="M53" i="4"/>
  <c r="AF415" i="2"/>
  <c r="AE415" i="2"/>
  <c r="AD415" i="2"/>
  <c r="AC415" i="2"/>
  <c r="AB415" i="2"/>
  <c r="AA415" i="2"/>
  <c r="Z415" i="2"/>
  <c r="Y415" i="2"/>
  <c r="X415" i="2"/>
  <c r="W415" i="2"/>
  <c r="V415" i="2"/>
  <c r="U415" i="2"/>
  <c r="T415" i="2"/>
  <c r="S415" i="2"/>
  <c r="R415" i="2"/>
  <c r="Q415" i="2"/>
  <c r="P415" i="2"/>
  <c r="O415" i="2"/>
  <c r="AF414" i="2"/>
  <c r="AE414" i="2"/>
  <c r="AD414" i="2"/>
  <c r="AC414" i="2"/>
  <c r="AB414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O414" i="2"/>
  <c r="AF413" i="2"/>
  <c r="AE413" i="2"/>
  <c r="AD413" i="2"/>
  <c r="AC413" i="2"/>
  <c r="AB413" i="2"/>
  <c r="AA413" i="2"/>
  <c r="Z413" i="2"/>
  <c r="Y413" i="2"/>
  <c r="X413" i="2"/>
  <c r="W413" i="2"/>
  <c r="V413" i="2"/>
  <c r="U413" i="2"/>
  <c r="T413" i="2"/>
  <c r="S413" i="2"/>
  <c r="R413" i="2"/>
  <c r="Q41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87" i="2"/>
  <c r="Q87" i="2"/>
  <c r="R87" i="2"/>
  <c r="S87" i="2"/>
  <c r="T87" i="2"/>
  <c r="U87" i="2"/>
  <c r="V87" i="2"/>
  <c r="W87" i="2"/>
  <c r="X87" i="2"/>
  <c r="N81" i="4" s="1"/>
  <c r="Y87" i="2"/>
  <c r="Z87" i="2"/>
  <c r="AA87" i="2"/>
  <c r="AB87" i="2"/>
  <c r="AC87" i="2"/>
  <c r="AD87" i="2"/>
  <c r="AE87" i="2"/>
  <c r="AF87" i="2"/>
  <c r="Q86" i="2"/>
  <c r="R86" i="2"/>
  <c r="S86" i="2"/>
  <c r="T86" i="2"/>
  <c r="U86" i="2"/>
  <c r="V86" i="2"/>
  <c r="L80" i="4" s="1"/>
  <c r="W86" i="2"/>
  <c r="M80" i="4" s="1"/>
  <c r="X86" i="2"/>
  <c r="N80" i="4" s="1"/>
  <c r="Y86" i="2"/>
  <c r="Z86" i="2"/>
  <c r="AA86" i="2"/>
  <c r="AB86" i="2"/>
  <c r="AC86" i="2"/>
  <c r="AD86" i="2"/>
  <c r="AE86" i="2"/>
  <c r="AF86" i="2"/>
  <c r="Q85" i="2"/>
  <c r="R85" i="2"/>
  <c r="S85" i="2"/>
  <c r="T85" i="2"/>
  <c r="U85" i="2"/>
  <c r="V85" i="2"/>
  <c r="W85" i="2"/>
  <c r="X85" i="2"/>
  <c r="N79" i="4" s="1"/>
  <c r="Y85" i="2"/>
  <c r="Z85" i="2"/>
  <c r="AA85" i="2"/>
  <c r="AB85" i="2"/>
  <c r="AC85" i="2"/>
  <c r="AD85" i="2"/>
  <c r="AE85" i="2"/>
  <c r="AF85" i="2"/>
  <c r="O87" i="2"/>
  <c r="AG494" i="3"/>
  <c r="AF494" i="3"/>
  <c r="AE494" i="3"/>
  <c r="AD494" i="3"/>
  <c r="AC494" i="3"/>
  <c r="AB494" i="3"/>
  <c r="AA494" i="3"/>
  <c r="Z494" i="3"/>
  <c r="X494" i="3"/>
  <c r="V494" i="3"/>
  <c r="U494" i="3"/>
  <c r="T494" i="3"/>
  <c r="Q494" i="3"/>
  <c r="P494" i="3"/>
  <c r="L494" i="3"/>
  <c r="AG411" i="3"/>
  <c r="AF411" i="3"/>
  <c r="AE411" i="3"/>
  <c r="AD411" i="3"/>
  <c r="AC411" i="3"/>
  <c r="AB411" i="3"/>
  <c r="AA411" i="3"/>
  <c r="Z411" i="3"/>
  <c r="Y411" i="3"/>
  <c r="X411" i="3"/>
  <c r="W411" i="3"/>
  <c r="V411" i="3"/>
  <c r="U411" i="3"/>
  <c r="T411" i="3"/>
  <c r="S411" i="3"/>
  <c r="R411" i="3"/>
  <c r="P411" i="3"/>
  <c r="O411" i="3"/>
  <c r="L411" i="3"/>
  <c r="AG329" i="3"/>
  <c r="AF329" i="3"/>
  <c r="AE329" i="3"/>
  <c r="AD329" i="3"/>
  <c r="AC329" i="3"/>
  <c r="AB329" i="3"/>
  <c r="AA329" i="3"/>
  <c r="Z329" i="3"/>
  <c r="Y329" i="3"/>
  <c r="X329" i="3"/>
  <c r="V329" i="3"/>
  <c r="U329" i="3"/>
  <c r="T329" i="3"/>
  <c r="R329" i="3"/>
  <c r="P329" i="3"/>
  <c r="AG247" i="3"/>
  <c r="AF247" i="3"/>
  <c r="AE247" i="3"/>
  <c r="AD247" i="3"/>
  <c r="AC247" i="3"/>
  <c r="AB247" i="3"/>
  <c r="AA247" i="3"/>
  <c r="Z247" i="3"/>
  <c r="Y247" i="3"/>
  <c r="X247" i="3"/>
  <c r="V247" i="3"/>
  <c r="U247" i="3"/>
  <c r="T247" i="3"/>
  <c r="Q247" i="3"/>
  <c r="P247" i="3"/>
  <c r="O247" i="3"/>
  <c r="AG165" i="3"/>
  <c r="AF165" i="3"/>
  <c r="AE165" i="3"/>
  <c r="AD165" i="3"/>
  <c r="AC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P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G661" i="3"/>
  <c r="AF661" i="3"/>
  <c r="AE661" i="3"/>
  <c r="AC661" i="3"/>
  <c r="AA661" i="3"/>
  <c r="Z661" i="3"/>
  <c r="Y661" i="3"/>
  <c r="X661" i="3"/>
  <c r="W661" i="3"/>
  <c r="V661" i="3"/>
  <c r="U661" i="3"/>
  <c r="T661" i="3"/>
  <c r="S661" i="3"/>
  <c r="R661" i="3"/>
  <c r="Q661" i="3"/>
  <c r="P661" i="3"/>
  <c r="O661" i="3"/>
  <c r="N661" i="3"/>
  <c r="M661" i="3"/>
  <c r="L661" i="3"/>
  <c r="K661" i="3"/>
  <c r="AF660" i="3"/>
  <c r="AD660" i="3"/>
  <c r="AB660" i="3"/>
  <c r="Z660" i="3"/>
  <c r="Y660" i="3"/>
  <c r="X660" i="3"/>
  <c r="W660" i="3"/>
  <c r="V660" i="3"/>
  <c r="U660" i="3"/>
  <c r="T660" i="3"/>
  <c r="S660" i="3"/>
  <c r="R660" i="3"/>
  <c r="Q660" i="3"/>
  <c r="P660" i="3"/>
  <c r="O660" i="3"/>
  <c r="N660" i="3"/>
  <c r="M660" i="3"/>
  <c r="L660" i="3"/>
  <c r="K660" i="3"/>
  <c r="AD659" i="3"/>
  <c r="AB659" i="3"/>
  <c r="Z659" i="3"/>
  <c r="Y659" i="3"/>
  <c r="X659" i="3"/>
  <c r="W659" i="3"/>
  <c r="V659" i="3"/>
  <c r="U659" i="3"/>
  <c r="T659" i="3"/>
  <c r="S659" i="3"/>
  <c r="R659" i="3"/>
  <c r="Q659" i="3"/>
  <c r="P659" i="3"/>
  <c r="O659" i="3"/>
  <c r="N659" i="3"/>
  <c r="M659" i="3"/>
  <c r="L659" i="3"/>
  <c r="K659" i="3"/>
  <c r="L577" i="3"/>
  <c r="P577" i="3"/>
  <c r="Q577" i="3"/>
  <c r="R577" i="3"/>
  <c r="T577" i="3"/>
  <c r="U577" i="3"/>
  <c r="V577" i="3"/>
  <c r="W577" i="3"/>
  <c r="X577" i="3"/>
  <c r="Z577" i="3"/>
  <c r="AA577" i="3"/>
  <c r="AB577" i="3"/>
  <c r="AC577" i="3"/>
  <c r="AD577" i="3"/>
  <c r="AE577" i="3"/>
  <c r="AF577" i="3"/>
  <c r="AG577" i="3"/>
  <c r="K578" i="3"/>
  <c r="L578" i="3"/>
  <c r="M578" i="3"/>
  <c r="N578" i="3"/>
  <c r="O578" i="3"/>
  <c r="P578" i="3"/>
  <c r="Q578" i="3"/>
  <c r="R578" i="3"/>
  <c r="S578" i="3"/>
  <c r="T578" i="3"/>
  <c r="U578" i="3"/>
  <c r="V578" i="3"/>
  <c r="W578" i="3"/>
  <c r="X578" i="3"/>
  <c r="Y578" i="3"/>
  <c r="Z578" i="3"/>
  <c r="AA578" i="3"/>
  <c r="AB578" i="3"/>
  <c r="AC578" i="3"/>
  <c r="AD578" i="3"/>
  <c r="AE578" i="3"/>
  <c r="AF578" i="3"/>
  <c r="AG578" i="3"/>
  <c r="K579" i="3"/>
  <c r="L579" i="3"/>
  <c r="M579" i="3"/>
  <c r="N579" i="3"/>
  <c r="O579" i="3"/>
  <c r="P579" i="3"/>
  <c r="Q579" i="3"/>
  <c r="R579" i="3"/>
  <c r="S579" i="3"/>
  <c r="T579" i="3"/>
  <c r="U579" i="3"/>
  <c r="V579" i="3"/>
  <c r="W579" i="3"/>
  <c r="X579" i="3"/>
  <c r="Y579" i="3"/>
  <c r="Z579" i="3"/>
  <c r="AA579" i="3"/>
  <c r="AB579" i="3"/>
  <c r="AC579" i="3"/>
  <c r="AD579" i="3"/>
  <c r="AE579" i="3"/>
  <c r="AF579" i="3"/>
  <c r="AG579" i="3"/>
  <c r="AG497" i="3"/>
  <c r="AF497" i="3"/>
  <c r="AE497" i="3"/>
  <c r="AD497" i="3"/>
  <c r="AC497" i="3"/>
  <c r="AB497" i="3"/>
  <c r="AA497" i="3"/>
  <c r="Z497" i="3"/>
  <c r="Y497" i="3"/>
  <c r="X497" i="3"/>
  <c r="W497" i="3"/>
  <c r="V497" i="3"/>
  <c r="U497" i="3"/>
  <c r="T497" i="3"/>
  <c r="S497" i="3"/>
  <c r="R497" i="3"/>
  <c r="Q497" i="3"/>
  <c r="P497" i="3"/>
  <c r="O497" i="3"/>
  <c r="N497" i="3"/>
  <c r="M497" i="3"/>
  <c r="L497" i="3"/>
  <c r="K497" i="3"/>
  <c r="AG496" i="3"/>
  <c r="AF496" i="3"/>
  <c r="AE496" i="3"/>
  <c r="AD496" i="3"/>
  <c r="AC496" i="3"/>
  <c r="AB496" i="3"/>
  <c r="AA496" i="3"/>
  <c r="Z496" i="3"/>
  <c r="Y496" i="3"/>
  <c r="X496" i="3"/>
  <c r="W496" i="3"/>
  <c r="V496" i="3"/>
  <c r="U496" i="3"/>
  <c r="T496" i="3"/>
  <c r="S496" i="3"/>
  <c r="R496" i="3"/>
  <c r="Q496" i="3"/>
  <c r="P496" i="3"/>
  <c r="O496" i="3"/>
  <c r="N496" i="3"/>
  <c r="M496" i="3"/>
  <c r="L496" i="3"/>
  <c r="K496" i="3"/>
  <c r="AG495" i="3"/>
  <c r="AF495" i="3"/>
  <c r="AE495" i="3"/>
  <c r="AD495" i="3"/>
  <c r="AC495" i="3"/>
  <c r="AB495" i="3"/>
  <c r="AA495" i="3"/>
  <c r="Z495" i="3"/>
  <c r="X495" i="3"/>
  <c r="V495" i="3"/>
  <c r="U495" i="3"/>
  <c r="T495" i="3"/>
  <c r="Q495" i="3"/>
  <c r="P495" i="3"/>
  <c r="L495" i="3"/>
  <c r="AG414" i="3"/>
  <c r="AF414" i="3"/>
  <c r="AE414" i="3"/>
  <c r="AD414" i="3"/>
  <c r="AC414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AG413" i="3"/>
  <c r="AF413" i="3"/>
  <c r="AE413" i="3"/>
  <c r="AD413" i="3"/>
  <c r="AC413" i="3"/>
  <c r="AB413" i="3"/>
  <c r="AA413" i="3"/>
  <c r="Z413" i="3"/>
  <c r="Y413" i="3"/>
  <c r="X413" i="3"/>
  <c r="W413" i="3"/>
  <c r="V413" i="3"/>
  <c r="U413" i="3"/>
  <c r="T413" i="3"/>
  <c r="S413" i="3"/>
  <c r="R413" i="3"/>
  <c r="P413" i="3"/>
  <c r="O413" i="3"/>
  <c r="L413" i="3"/>
  <c r="AG412" i="3"/>
  <c r="AF412" i="3"/>
  <c r="AE412" i="3"/>
  <c r="AD412" i="3"/>
  <c r="AC412" i="3"/>
  <c r="AB412" i="3"/>
  <c r="AA412" i="3"/>
  <c r="Z412" i="3"/>
  <c r="Y412" i="3"/>
  <c r="X412" i="3"/>
  <c r="W412" i="3"/>
  <c r="V412" i="3"/>
  <c r="U412" i="3"/>
  <c r="T412" i="3"/>
  <c r="S412" i="3"/>
  <c r="R412" i="3"/>
  <c r="Q412" i="3"/>
  <c r="P412" i="3"/>
  <c r="O412" i="3"/>
  <c r="L412" i="3"/>
  <c r="AG332" i="3"/>
  <c r="AF332" i="3"/>
  <c r="AE332" i="3"/>
  <c r="AD332" i="3"/>
  <c r="AC332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AG331" i="3"/>
  <c r="AF331" i="3"/>
  <c r="AE331" i="3"/>
  <c r="AD331" i="3"/>
  <c r="AC331" i="3"/>
  <c r="AB331" i="3"/>
  <c r="AA331" i="3"/>
  <c r="Z331" i="3"/>
  <c r="Y331" i="3"/>
  <c r="X331" i="3"/>
  <c r="V331" i="3"/>
  <c r="U331" i="3"/>
  <c r="T331" i="3"/>
  <c r="S331" i="3"/>
  <c r="R331" i="3"/>
  <c r="P331" i="3"/>
  <c r="L331" i="3"/>
  <c r="AG330" i="3"/>
  <c r="AF330" i="3"/>
  <c r="AE330" i="3"/>
  <c r="AD330" i="3"/>
  <c r="AC330" i="3"/>
  <c r="AB330" i="3"/>
  <c r="AA330" i="3"/>
  <c r="Z330" i="3"/>
  <c r="Y330" i="3"/>
  <c r="X330" i="3"/>
  <c r="W330" i="3"/>
  <c r="V330" i="3"/>
  <c r="U330" i="3"/>
  <c r="T330" i="3"/>
  <c r="R330" i="3"/>
  <c r="Q330" i="3"/>
  <c r="P330" i="3"/>
  <c r="O330" i="3"/>
  <c r="L330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AG248" i="3"/>
  <c r="AF248" i="3"/>
  <c r="AE248" i="3"/>
  <c r="AD248" i="3"/>
  <c r="AC248" i="3"/>
  <c r="AB248" i="3"/>
  <c r="AA248" i="3"/>
  <c r="Z248" i="3"/>
  <c r="Y248" i="3"/>
  <c r="X248" i="3"/>
  <c r="V248" i="3"/>
  <c r="U248" i="3"/>
  <c r="T248" i="3"/>
  <c r="Q248" i="3"/>
  <c r="P248" i="3"/>
  <c r="O248" i="3"/>
  <c r="AG168" i="3"/>
  <c r="AF168" i="3"/>
  <c r="AE168" i="3"/>
  <c r="AD168" i="3"/>
  <c r="AC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K87" i="3"/>
  <c r="K85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P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N82" i="4" l="1"/>
  <c r="G81" i="4"/>
  <c r="J79" i="4"/>
  <c r="F81" i="4"/>
  <c r="M79" i="4"/>
  <c r="K79" i="4"/>
  <c r="I79" i="4"/>
  <c r="L81" i="4"/>
  <c r="I81" i="4"/>
  <c r="I80" i="4"/>
  <c r="G80" i="4"/>
  <c r="W44" i="4"/>
  <c r="Y44" i="4"/>
  <c r="K44" i="4"/>
  <c r="J44" i="4"/>
  <c r="X43" i="4"/>
  <c r="V43" i="4"/>
  <c r="T42" i="4"/>
  <c r="X42" i="4"/>
  <c r="R42" i="4"/>
  <c r="J43" i="4"/>
  <c r="Z44" i="4"/>
  <c r="N44" i="4"/>
  <c r="T43" i="4"/>
  <c r="L44" i="4"/>
  <c r="N43" i="4"/>
  <c r="H81" i="4"/>
  <c r="K80" i="4"/>
  <c r="J80" i="4"/>
  <c r="H80" i="4"/>
  <c r="M81" i="4"/>
  <c r="K81" i="4"/>
  <c r="E81" i="4"/>
  <c r="L79" i="4"/>
  <c r="J81" i="4"/>
  <c r="M44" i="4"/>
  <c r="P42" i="4"/>
  <c r="K42" i="4"/>
  <c r="H44" i="4"/>
  <c r="T44" i="4"/>
  <c r="S43" i="4"/>
  <c r="I44" i="4"/>
  <c r="V42" i="4"/>
  <c r="J42" i="4"/>
  <c r="R43" i="4"/>
  <c r="Z43" i="4"/>
  <c r="P44" i="4"/>
  <c r="P43" i="4"/>
  <c r="S44" i="4"/>
  <c r="G44" i="4"/>
  <c r="O43" i="4"/>
  <c r="R44" i="4"/>
  <c r="Q44" i="4"/>
  <c r="O42" i="4"/>
  <c r="N42" i="4"/>
  <c r="AA44" i="4"/>
  <c r="O44" i="4"/>
  <c r="K23" i="4" l="1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G10" i="4"/>
  <c r="H10" i="4"/>
  <c r="I10" i="4"/>
  <c r="J10" i="4"/>
  <c r="K10" i="4"/>
  <c r="L10" i="4"/>
  <c r="M10" i="4"/>
  <c r="O10" i="4"/>
  <c r="P10" i="4"/>
  <c r="Q10" i="4"/>
  <c r="R10" i="4"/>
  <c r="S10" i="4"/>
  <c r="T10" i="4"/>
  <c r="U10" i="4"/>
  <c r="V10" i="4"/>
  <c r="AA10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E8" i="4"/>
  <c r="AB168" i="3" l="1"/>
  <c r="AB165" i="3"/>
  <c r="V27" i="4" s="1"/>
  <c r="AA168" i="3"/>
  <c r="U44" i="4" s="1"/>
  <c r="AA165" i="3"/>
  <c r="U27" i="4" s="1"/>
  <c r="AB627" i="3"/>
  <c r="AB626" i="3"/>
  <c r="AA624" i="3"/>
  <c r="AA623" i="3"/>
  <c r="AA621" i="3"/>
  <c r="AA620" i="3"/>
  <c r="AA618" i="3"/>
  <c r="AA617" i="3"/>
  <c r="AA616" i="3"/>
  <c r="AA615" i="3"/>
  <c r="AA613" i="3"/>
  <c r="AA612" i="3"/>
  <c r="AA610" i="3"/>
  <c r="AA609" i="3"/>
  <c r="AA608" i="3"/>
  <c r="AA607" i="3"/>
  <c r="V37" i="4"/>
  <c r="U37" i="4"/>
  <c r="V35" i="4"/>
  <c r="U35" i="4"/>
  <c r="V33" i="4"/>
  <c r="U33" i="4"/>
  <c r="V31" i="4"/>
  <c r="U31" i="4"/>
  <c r="V29" i="4"/>
  <c r="U29" i="4"/>
  <c r="V25" i="4"/>
  <c r="U25" i="4"/>
  <c r="AG639" i="3"/>
  <c r="AE639" i="3"/>
  <c r="AG631" i="3"/>
  <c r="AE631" i="3"/>
  <c r="AC618" i="3"/>
  <c r="AC617" i="3"/>
  <c r="AC610" i="3"/>
  <c r="AC609" i="3"/>
  <c r="K154" i="3"/>
  <c r="N153" i="3"/>
  <c r="L153" i="3"/>
  <c r="M152" i="3"/>
  <c r="M151" i="3"/>
  <c r="K150" i="3"/>
  <c r="K168" i="3" s="1"/>
  <c r="E44" i="4" s="1"/>
  <c r="L149" i="3"/>
  <c r="L168" i="3" s="1"/>
  <c r="F44" i="4" s="1"/>
  <c r="K192" i="3"/>
  <c r="N191" i="3"/>
  <c r="L191" i="3"/>
  <c r="K190" i="3"/>
  <c r="N189" i="3"/>
  <c r="L189" i="3"/>
  <c r="M188" i="3"/>
  <c r="M187" i="3"/>
  <c r="S279" i="3"/>
  <c r="K278" i="3"/>
  <c r="N277" i="3"/>
  <c r="K276" i="3"/>
  <c r="N275" i="3"/>
  <c r="K274" i="3"/>
  <c r="M273" i="3"/>
  <c r="K272" i="3"/>
  <c r="M271" i="3"/>
  <c r="M270" i="3"/>
  <c r="M269" i="3"/>
  <c r="Q365" i="3"/>
  <c r="Q364" i="3"/>
  <c r="K363" i="3"/>
  <c r="N362" i="3"/>
  <c r="K361" i="3"/>
  <c r="N360" i="3"/>
  <c r="M359" i="3"/>
  <c r="M358" i="3"/>
  <c r="M357" i="3"/>
  <c r="M356" i="3"/>
  <c r="M355" i="3"/>
  <c r="M354" i="3"/>
  <c r="M353" i="3"/>
  <c r="M352" i="3"/>
  <c r="M351" i="3"/>
  <c r="M433" i="3"/>
  <c r="K438" i="3"/>
  <c r="M437" i="3"/>
  <c r="K436" i="3"/>
  <c r="M435" i="3"/>
  <c r="M447" i="3"/>
  <c r="M445" i="3"/>
  <c r="K444" i="3"/>
  <c r="M443" i="3"/>
  <c r="K442" i="3"/>
  <c r="M441" i="3"/>
  <c r="M439" i="3"/>
  <c r="K197" i="3"/>
  <c r="N196" i="3"/>
  <c r="L196" i="3"/>
  <c r="M195" i="3"/>
  <c r="M194" i="3"/>
  <c r="K284" i="3"/>
  <c r="N283" i="3"/>
  <c r="M282" i="3"/>
  <c r="M281" i="3"/>
  <c r="K372" i="3"/>
  <c r="N371" i="3"/>
  <c r="K370" i="3"/>
  <c r="N369" i="3"/>
  <c r="M368" i="3"/>
  <c r="M367" i="3"/>
  <c r="N457" i="3"/>
  <c r="K456" i="3"/>
  <c r="N455" i="3"/>
  <c r="K454" i="3"/>
  <c r="N453" i="3"/>
  <c r="K452" i="3"/>
  <c r="N451" i="3"/>
  <c r="K450" i="3"/>
  <c r="M449" i="3"/>
  <c r="K448" i="3"/>
  <c r="K538" i="3"/>
  <c r="O537" i="3"/>
  <c r="K536" i="3"/>
  <c r="O535" i="3"/>
  <c r="K534" i="3"/>
  <c r="N533" i="3"/>
  <c r="K532" i="3"/>
  <c r="N531" i="3"/>
  <c r="K530" i="3"/>
  <c r="M529" i="3"/>
  <c r="K528" i="3"/>
  <c r="M527" i="3"/>
  <c r="M526" i="3"/>
  <c r="M525" i="3"/>
  <c r="L136" i="3"/>
  <c r="K137" i="3"/>
  <c r="L140" i="3"/>
  <c r="K141" i="3"/>
  <c r="N140" i="3"/>
  <c r="M139" i="3"/>
  <c r="M138" i="3"/>
  <c r="O146" i="2"/>
  <c r="O140" i="2"/>
  <c r="O143" i="2"/>
  <c r="O303" i="2"/>
  <c r="O302" i="2"/>
  <c r="O301" i="2"/>
  <c r="O300" i="2"/>
  <c r="Q413" i="3" l="1"/>
  <c r="Q411" i="3"/>
  <c r="K33" i="4" s="1"/>
  <c r="S330" i="3"/>
  <c r="S329" i="3"/>
  <c r="M31" i="4" s="1"/>
  <c r="N494" i="3"/>
  <c r="M494" i="3"/>
  <c r="U39" i="4"/>
  <c r="O577" i="3"/>
  <c r="N330" i="3"/>
  <c r="N495" i="3"/>
  <c r="AA660" i="3"/>
  <c r="U43" i="4" s="1"/>
  <c r="AA659" i="3"/>
  <c r="U42" i="4" s="1"/>
  <c r="V39" i="4"/>
  <c r="AB661" i="3"/>
  <c r="V44" i="4" s="1"/>
  <c r="M495" i="3"/>
  <c r="M330" i="3"/>
  <c r="K330" i="3"/>
  <c r="P303" i="2"/>
  <c r="P302" i="2"/>
  <c r="P301" i="2"/>
  <c r="P300" i="2"/>
  <c r="P146" i="2"/>
  <c r="P143" i="2"/>
  <c r="P140" i="2"/>
  <c r="J39" i="4"/>
  <c r="K39" i="4"/>
  <c r="L39" i="4"/>
  <c r="M39" i="4"/>
  <c r="N39" i="4"/>
  <c r="O39" i="4"/>
  <c r="P39" i="4"/>
  <c r="Q39" i="4"/>
  <c r="R39" i="4"/>
  <c r="S39" i="4"/>
  <c r="T39" i="4"/>
  <c r="J37" i="4"/>
  <c r="K37" i="4"/>
  <c r="L37" i="4"/>
  <c r="N37" i="4"/>
  <c r="O37" i="4"/>
  <c r="P37" i="4"/>
  <c r="Q37" i="4"/>
  <c r="R37" i="4"/>
  <c r="T37" i="4"/>
  <c r="W37" i="4"/>
  <c r="X37" i="4"/>
  <c r="Y37" i="4"/>
  <c r="Z37" i="4"/>
  <c r="AA37" i="4"/>
  <c r="J35" i="4"/>
  <c r="K35" i="4"/>
  <c r="N35" i="4"/>
  <c r="O35" i="4"/>
  <c r="P35" i="4"/>
  <c r="R35" i="4"/>
  <c r="T35" i="4"/>
  <c r="W35" i="4"/>
  <c r="X35" i="4"/>
  <c r="Y35" i="4"/>
  <c r="Z35" i="4"/>
  <c r="AA35" i="4"/>
  <c r="J33" i="4"/>
  <c r="L33" i="4"/>
  <c r="M33" i="4"/>
  <c r="N33" i="4"/>
  <c r="O33" i="4"/>
  <c r="P33" i="4"/>
  <c r="Q33" i="4"/>
  <c r="R33" i="4"/>
  <c r="S33" i="4"/>
  <c r="T33" i="4"/>
  <c r="W33" i="4"/>
  <c r="X33" i="4"/>
  <c r="Y33" i="4"/>
  <c r="Z33" i="4"/>
  <c r="AA33" i="4"/>
  <c r="J31" i="4"/>
  <c r="L31" i="4"/>
  <c r="N31" i="4"/>
  <c r="O31" i="4"/>
  <c r="P31" i="4"/>
  <c r="R31" i="4"/>
  <c r="S31" i="4"/>
  <c r="T31" i="4"/>
  <c r="W31" i="4"/>
  <c r="X31" i="4"/>
  <c r="Y31" i="4"/>
  <c r="Z31" i="4"/>
  <c r="AA31" i="4"/>
  <c r="J29" i="4"/>
  <c r="K29" i="4"/>
  <c r="N29" i="4"/>
  <c r="O29" i="4"/>
  <c r="P29" i="4"/>
  <c r="R29" i="4"/>
  <c r="S29" i="4"/>
  <c r="T29" i="4"/>
  <c r="W29" i="4"/>
  <c r="X29" i="4"/>
  <c r="Y29" i="4"/>
  <c r="Z29" i="4"/>
  <c r="AA29" i="4"/>
  <c r="J27" i="4"/>
  <c r="K27" i="4"/>
  <c r="L27" i="4"/>
  <c r="M27" i="4"/>
  <c r="N27" i="4"/>
  <c r="O27" i="4"/>
  <c r="P27" i="4"/>
  <c r="Q27" i="4"/>
  <c r="R27" i="4"/>
  <c r="S27" i="4"/>
  <c r="T27" i="4"/>
  <c r="W27" i="4"/>
  <c r="X27" i="4"/>
  <c r="Y27" i="4"/>
  <c r="Z27" i="4"/>
  <c r="AA27" i="4"/>
  <c r="N25" i="4"/>
  <c r="O25" i="4"/>
  <c r="P25" i="4"/>
  <c r="Q25" i="4"/>
  <c r="R25" i="4"/>
  <c r="S25" i="4"/>
  <c r="T25" i="4"/>
  <c r="W25" i="4"/>
  <c r="X25" i="4"/>
  <c r="Y25" i="4"/>
  <c r="Z25" i="4"/>
  <c r="AA25" i="4"/>
  <c r="M76" i="4"/>
  <c r="G72" i="4"/>
  <c r="H72" i="4"/>
  <c r="J72" i="4"/>
  <c r="M70" i="4"/>
  <c r="M74" i="4"/>
  <c r="W489" i="3" l="1"/>
  <c r="W490" i="3"/>
  <c r="W296" i="3"/>
  <c r="W329" i="3" s="1"/>
  <c r="M560" i="3"/>
  <c r="M558" i="3"/>
  <c r="M401" i="3"/>
  <c r="M399" i="3"/>
  <c r="M308" i="3"/>
  <c r="M307" i="3"/>
  <c r="M225" i="3"/>
  <c r="M223" i="3"/>
  <c r="M219" i="3"/>
  <c r="M217" i="3"/>
  <c r="M211" i="3"/>
  <c r="M209" i="3"/>
  <c r="L70" i="4"/>
  <c r="K70" i="4"/>
  <c r="AG647" i="3"/>
  <c r="AG645" i="3"/>
  <c r="AG643" i="3"/>
  <c r="AG641" i="3"/>
  <c r="AG638" i="3"/>
  <c r="AG637" i="3"/>
  <c r="AG635" i="3"/>
  <c r="AG633" i="3"/>
  <c r="AG630" i="3"/>
  <c r="AG629" i="3"/>
  <c r="J74" i="4"/>
  <c r="P231" i="2"/>
  <c r="P230" i="2"/>
  <c r="O230" i="2"/>
  <c r="P229" i="2"/>
  <c r="O229" i="2"/>
  <c r="P222" i="2"/>
  <c r="P221" i="2"/>
  <c r="O221" i="2"/>
  <c r="P220" i="2"/>
  <c r="O220" i="2"/>
  <c r="P219" i="2"/>
  <c r="O219" i="2"/>
  <c r="P218" i="2"/>
  <c r="P217" i="2"/>
  <c r="O217" i="2"/>
  <c r="P213" i="2"/>
  <c r="O213" i="2"/>
  <c r="P212" i="2"/>
  <c r="O212" i="2"/>
  <c r="P211" i="2"/>
  <c r="O211" i="2"/>
  <c r="P204" i="2"/>
  <c r="P200" i="2"/>
  <c r="P199" i="2"/>
  <c r="P198" i="2"/>
  <c r="O198" i="2"/>
  <c r="P197" i="2"/>
  <c r="O197" i="2"/>
  <c r="P196" i="2"/>
  <c r="P195" i="2"/>
  <c r="P194" i="2"/>
  <c r="O194" i="2"/>
  <c r="P402" i="2"/>
  <c r="O402" i="2"/>
  <c r="P401" i="2"/>
  <c r="O401" i="2"/>
  <c r="P400" i="2"/>
  <c r="O400" i="2"/>
  <c r="P399" i="2"/>
  <c r="P398" i="2"/>
  <c r="O398" i="2"/>
  <c r="P397" i="2"/>
  <c r="P396" i="2"/>
  <c r="O396" i="2"/>
  <c r="P326" i="2"/>
  <c r="O326" i="2"/>
  <c r="P325" i="2"/>
  <c r="P324" i="2"/>
  <c r="O324" i="2"/>
  <c r="P322" i="2"/>
  <c r="O322" i="2"/>
  <c r="P321" i="2"/>
  <c r="P320" i="2"/>
  <c r="O320" i="2"/>
  <c r="P319" i="2"/>
  <c r="P318" i="2"/>
  <c r="P317" i="2"/>
  <c r="O317" i="2"/>
  <c r="P316" i="2"/>
  <c r="P315" i="2"/>
  <c r="P314" i="2"/>
  <c r="P313" i="2"/>
  <c r="O313" i="2"/>
  <c r="P391" i="2"/>
  <c r="O390" i="2"/>
  <c r="P389" i="2"/>
  <c r="O389" i="2"/>
  <c r="P388" i="2"/>
  <c r="O388" i="2"/>
  <c r="P387" i="2"/>
  <c r="P386" i="2"/>
  <c r="O386" i="2"/>
  <c r="P385" i="2"/>
  <c r="P384" i="2"/>
  <c r="O384" i="2"/>
  <c r="P372" i="2"/>
  <c r="O372" i="2"/>
  <c r="P368" i="2"/>
  <c r="P367" i="2"/>
  <c r="P366" i="2"/>
  <c r="O366" i="2"/>
  <c r="P365" i="2"/>
  <c r="O365" i="2"/>
  <c r="P364" i="2"/>
  <c r="O364" i="2"/>
  <c r="P311" i="2"/>
  <c r="P310" i="2"/>
  <c r="P309" i="2"/>
  <c r="O309" i="2"/>
  <c r="P308" i="2"/>
  <c r="O308" i="2"/>
  <c r="P307" i="2"/>
  <c r="O307" i="2"/>
  <c r="O306" i="2"/>
  <c r="P305" i="2"/>
  <c r="O305" i="2"/>
  <c r="P304" i="2"/>
  <c r="O304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O147" i="2"/>
  <c r="P145" i="2"/>
  <c r="O145" i="2"/>
  <c r="P144" i="2"/>
  <c r="O144" i="2"/>
  <c r="P142" i="2"/>
  <c r="O142" i="2"/>
  <c r="P141" i="2"/>
  <c r="O141" i="2"/>
  <c r="P139" i="2"/>
  <c r="P138" i="2"/>
  <c r="P137" i="2"/>
  <c r="O137" i="2"/>
  <c r="P136" i="2"/>
  <c r="P135" i="2"/>
  <c r="P134" i="2"/>
  <c r="P133" i="2"/>
  <c r="O133" i="2"/>
  <c r="P132" i="2"/>
  <c r="O132" i="2"/>
  <c r="R239" i="3"/>
  <c r="R238" i="3"/>
  <c r="R247" i="3" l="1"/>
  <c r="L29" i="4" s="1"/>
  <c r="AA39" i="4"/>
  <c r="AA45" i="4" s="1"/>
  <c r="AG659" i="3"/>
  <c r="AA42" i="4" s="1"/>
  <c r="P250" i="2"/>
  <c r="O250" i="2"/>
  <c r="AG660" i="3"/>
  <c r="AA43" i="4" s="1"/>
  <c r="Q31" i="4"/>
  <c r="W331" i="3"/>
  <c r="Q43" i="4" s="1"/>
  <c r="R248" i="3"/>
  <c r="N45" i="4"/>
  <c r="O45" i="4"/>
  <c r="P45" i="4"/>
  <c r="R45" i="4"/>
  <c r="T45" i="4"/>
  <c r="U45" i="4"/>
  <c r="V45" i="4"/>
  <c r="P290" i="2"/>
  <c r="P289" i="2"/>
  <c r="O289" i="2"/>
  <c r="P288" i="2"/>
  <c r="O288" i="2"/>
  <c r="P287" i="2"/>
  <c r="P286" i="2"/>
  <c r="O286" i="2"/>
  <c r="P285" i="2"/>
  <c r="P284" i="2"/>
  <c r="O284" i="2"/>
  <c r="P283" i="2"/>
  <c r="P282" i="2"/>
  <c r="P281" i="2"/>
  <c r="O281" i="2"/>
  <c r="P280" i="2"/>
  <c r="P279" i="2"/>
  <c r="O279" i="2"/>
  <c r="O298" i="2"/>
  <c r="P298" i="2"/>
  <c r="P362" i="2"/>
  <c r="P361" i="2"/>
  <c r="O361" i="2"/>
  <c r="P360" i="2"/>
  <c r="P359" i="2"/>
  <c r="P358" i="2"/>
  <c r="P357" i="2"/>
  <c r="O357" i="2"/>
  <c r="P356" i="2"/>
  <c r="P355" i="2"/>
  <c r="O355" i="2"/>
  <c r="S339" i="2"/>
  <c r="S257" i="2"/>
  <c r="S175" i="2"/>
  <c r="S93" i="2"/>
  <c r="S11" i="2"/>
  <c r="I54" i="4" s="1"/>
  <c r="O413" i="2" l="1"/>
  <c r="O412" i="2"/>
  <c r="P412" i="2"/>
  <c r="O331" i="2"/>
  <c r="O330" i="2"/>
  <c r="P330" i="2"/>
  <c r="P413" i="2"/>
  <c r="P331" i="2"/>
  <c r="P192" i="2"/>
  <c r="P248" i="2" s="1"/>
  <c r="O192" i="2"/>
  <c r="S568" i="3"/>
  <c r="N54" i="3"/>
  <c r="W487" i="3"/>
  <c r="AC607" i="3"/>
  <c r="AC608" i="3"/>
  <c r="AC612" i="3"/>
  <c r="AC613" i="3"/>
  <c r="AC615" i="3"/>
  <c r="AC616" i="3"/>
  <c r="AC620" i="3"/>
  <c r="AC621" i="3"/>
  <c r="AC623" i="3"/>
  <c r="AC624" i="3"/>
  <c r="AD626" i="3"/>
  <c r="AD627" i="3"/>
  <c r="AE629" i="3"/>
  <c r="AE630" i="3"/>
  <c r="AE633" i="3"/>
  <c r="AE635" i="3"/>
  <c r="AE637" i="3"/>
  <c r="AE638" i="3"/>
  <c r="AE641" i="3"/>
  <c r="AE643" i="3"/>
  <c r="AE645" i="3"/>
  <c r="AE647" i="3"/>
  <c r="AF648" i="3"/>
  <c r="Y548" i="3"/>
  <c r="R470" i="3"/>
  <c r="R469" i="3"/>
  <c r="S471" i="3"/>
  <c r="S494" i="3" s="1"/>
  <c r="W488" i="3"/>
  <c r="W491" i="3"/>
  <c r="W492" i="3"/>
  <c r="K320" i="3"/>
  <c r="O319" i="3"/>
  <c r="Q316" i="3"/>
  <c r="S205" i="3"/>
  <c r="S231" i="3"/>
  <c r="W232" i="3"/>
  <c r="W233" i="3"/>
  <c r="W234" i="3"/>
  <c r="K81" i="3"/>
  <c r="N80" i="3"/>
  <c r="L80" i="3"/>
  <c r="K79" i="3"/>
  <c r="N78" i="3"/>
  <c r="L78" i="3"/>
  <c r="K77" i="3"/>
  <c r="N76" i="3"/>
  <c r="L76" i="3"/>
  <c r="M75" i="3"/>
  <c r="M74" i="3"/>
  <c r="K71" i="3"/>
  <c r="N70" i="3"/>
  <c r="L70" i="3"/>
  <c r="K69" i="3"/>
  <c r="N68" i="3"/>
  <c r="L68" i="3"/>
  <c r="M67" i="3"/>
  <c r="M66" i="3"/>
  <c r="R61" i="3"/>
  <c r="R84" i="3" s="1"/>
  <c r="Q61" i="3"/>
  <c r="S42" i="3"/>
  <c r="S33" i="3"/>
  <c r="P42" i="2"/>
  <c r="P25" i="2"/>
  <c r="AG412" i="2"/>
  <c r="L76" i="4"/>
  <c r="K76" i="4"/>
  <c r="AF351" i="2"/>
  <c r="AE351" i="2"/>
  <c r="AD351" i="2"/>
  <c r="AC351" i="2"/>
  <c r="AB351" i="2"/>
  <c r="AA351" i="2"/>
  <c r="Z351" i="2"/>
  <c r="T351" i="2"/>
  <c r="J76" i="4" s="1"/>
  <c r="S351" i="2"/>
  <c r="I76" i="4" s="1"/>
  <c r="R351" i="2"/>
  <c r="H76" i="4" s="1"/>
  <c r="Q351" i="2"/>
  <c r="G76" i="4" s="1"/>
  <c r="P351" i="2"/>
  <c r="F76" i="4" s="1"/>
  <c r="O351" i="2"/>
  <c r="E76" i="4" s="1"/>
  <c r="AF339" i="2"/>
  <c r="AE339" i="2"/>
  <c r="AD339" i="2"/>
  <c r="R339" i="2"/>
  <c r="Q339" i="2"/>
  <c r="P339" i="2"/>
  <c r="O339" i="2"/>
  <c r="AF338" i="2"/>
  <c r="AE338" i="2"/>
  <c r="AD338" i="2"/>
  <c r="R338" i="2"/>
  <c r="Q338" i="2"/>
  <c r="P338" i="2"/>
  <c r="O338" i="2"/>
  <c r="D335" i="2"/>
  <c r="P118" i="2"/>
  <c r="P117" i="2"/>
  <c r="O117" i="2"/>
  <c r="P116" i="2"/>
  <c r="P115" i="2"/>
  <c r="O115" i="2"/>
  <c r="P113" i="2"/>
  <c r="P112" i="2"/>
  <c r="O112" i="2"/>
  <c r="P111" i="2"/>
  <c r="P110" i="2"/>
  <c r="O110" i="2"/>
  <c r="P109" i="2"/>
  <c r="P108" i="2"/>
  <c r="O108" i="2"/>
  <c r="P107" i="2"/>
  <c r="P106" i="2"/>
  <c r="O106" i="2"/>
  <c r="K74" i="4"/>
  <c r="L74" i="4"/>
  <c r="AG330" i="2"/>
  <c r="AF416" i="2"/>
  <c r="AE416" i="2"/>
  <c r="AD416" i="2"/>
  <c r="AC416" i="2"/>
  <c r="AB416" i="2"/>
  <c r="AA416" i="2"/>
  <c r="Z416" i="2"/>
  <c r="Y416" i="2"/>
  <c r="X416" i="2"/>
  <c r="W416" i="2"/>
  <c r="V416" i="2"/>
  <c r="U416" i="2"/>
  <c r="AF269" i="2"/>
  <c r="AE269" i="2"/>
  <c r="AD269" i="2"/>
  <c r="AC269" i="2"/>
  <c r="AB269" i="2"/>
  <c r="AA269" i="2"/>
  <c r="Z269" i="2"/>
  <c r="T269" i="2"/>
  <c r="S269" i="2"/>
  <c r="I74" i="4" s="1"/>
  <c r="AF257" i="2"/>
  <c r="AE257" i="2"/>
  <c r="AD257" i="2"/>
  <c r="AF256" i="2"/>
  <c r="AE256" i="2"/>
  <c r="AD256" i="2"/>
  <c r="AF187" i="2"/>
  <c r="AE187" i="2"/>
  <c r="AD187" i="2"/>
  <c r="AC187" i="2"/>
  <c r="AB187" i="2"/>
  <c r="AA187" i="2"/>
  <c r="Z187" i="2"/>
  <c r="T187" i="2"/>
  <c r="S187" i="2"/>
  <c r="AF175" i="2"/>
  <c r="AE175" i="2"/>
  <c r="AD175" i="2"/>
  <c r="AF174" i="2"/>
  <c r="AE174" i="2"/>
  <c r="AD174" i="2"/>
  <c r="AF105" i="2"/>
  <c r="AE105" i="2"/>
  <c r="AD105" i="2"/>
  <c r="AC105" i="2"/>
  <c r="AB105" i="2"/>
  <c r="AA105" i="2"/>
  <c r="Z105" i="2"/>
  <c r="T105" i="2"/>
  <c r="J70" i="4" s="1"/>
  <c r="S105" i="2"/>
  <c r="I70" i="4" s="1"/>
  <c r="AF93" i="2"/>
  <c r="AE93" i="2"/>
  <c r="AD93" i="2"/>
  <c r="AF92" i="2"/>
  <c r="AE92" i="2"/>
  <c r="AD92" i="2"/>
  <c r="M68" i="4"/>
  <c r="M82" i="4" s="1"/>
  <c r="K68" i="4"/>
  <c r="L68" i="4"/>
  <c r="AF23" i="2"/>
  <c r="AE23" i="2"/>
  <c r="AD23" i="2"/>
  <c r="AC23" i="2"/>
  <c r="AB23" i="2"/>
  <c r="AA23" i="2"/>
  <c r="Z23" i="2"/>
  <c r="T23" i="2"/>
  <c r="S23" i="2"/>
  <c r="AF11" i="2"/>
  <c r="AE11" i="2"/>
  <c r="AD11" i="2"/>
  <c r="AF10" i="2"/>
  <c r="AE10" i="2"/>
  <c r="AD10" i="2"/>
  <c r="AF10" i="3"/>
  <c r="Z10" i="4" s="1"/>
  <c r="L255" i="3"/>
  <c r="L256" i="3"/>
  <c r="N288" i="3"/>
  <c r="M287" i="3"/>
  <c r="M286" i="3"/>
  <c r="O597" i="3"/>
  <c r="I39" i="4" s="1"/>
  <c r="N597" i="3"/>
  <c r="H39" i="4" s="1"/>
  <c r="M597" i="3"/>
  <c r="G39" i="4" s="1"/>
  <c r="L597" i="3"/>
  <c r="F39" i="4" s="1"/>
  <c r="K597" i="3"/>
  <c r="E39" i="4" s="1"/>
  <c r="L585" i="3"/>
  <c r="K585" i="3"/>
  <c r="L584" i="3"/>
  <c r="K584" i="3"/>
  <c r="D581" i="3"/>
  <c r="K565" i="3"/>
  <c r="N564" i="3"/>
  <c r="K563" i="3"/>
  <c r="N562" i="3"/>
  <c r="K561" i="3"/>
  <c r="K559" i="3"/>
  <c r="M557" i="3"/>
  <c r="M556" i="3"/>
  <c r="K555" i="3"/>
  <c r="N554" i="3"/>
  <c r="K553" i="3"/>
  <c r="N552" i="3"/>
  <c r="M551" i="3"/>
  <c r="M550" i="3"/>
  <c r="K468" i="3"/>
  <c r="O467" i="3"/>
  <c r="K466" i="3"/>
  <c r="O465" i="3"/>
  <c r="K464" i="3"/>
  <c r="O463" i="3"/>
  <c r="K462" i="3"/>
  <c r="O461" i="3"/>
  <c r="K460" i="3"/>
  <c r="O459" i="3"/>
  <c r="K458" i="3"/>
  <c r="M407" i="3"/>
  <c r="K406" i="3"/>
  <c r="M405" i="3"/>
  <c r="K404" i="3"/>
  <c r="M403" i="3"/>
  <c r="K402" i="3"/>
  <c r="K400" i="3"/>
  <c r="M398" i="3"/>
  <c r="K396" i="3"/>
  <c r="N395" i="3"/>
  <c r="K394" i="3"/>
  <c r="N393" i="3"/>
  <c r="M392" i="3"/>
  <c r="M391" i="3"/>
  <c r="K389" i="3"/>
  <c r="N388" i="3"/>
  <c r="M387" i="3"/>
  <c r="M386" i="3"/>
  <c r="K384" i="3"/>
  <c r="N383" i="3"/>
  <c r="M382" i="3"/>
  <c r="M381" i="3"/>
  <c r="K379" i="3"/>
  <c r="N378" i="3"/>
  <c r="K377" i="3"/>
  <c r="N376" i="3"/>
  <c r="M375" i="3"/>
  <c r="M374" i="3"/>
  <c r="Q315" i="3"/>
  <c r="K312" i="3"/>
  <c r="N311" i="3"/>
  <c r="K310" i="3"/>
  <c r="N309" i="3"/>
  <c r="M306" i="3"/>
  <c r="M305" i="3"/>
  <c r="M304" i="3"/>
  <c r="M303" i="3"/>
  <c r="M302" i="3"/>
  <c r="M301" i="3"/>
  <c r="K299" i="3"/>
  <c r="O298" i="3"/>
  <c r="K297" i="3"/>
  <c r="K295" i="3"/>
  <c r="N294" i="3"/>
  <c r="K293" i="3"/>
  <c r="N292" i="3"/>
  <c r="M291" i="3"/>
  <c r="M290" i="3"/>
  <c r="K220" i="3"/>
  <c r="K218" i="3"/>
  <c r="M215" i="3"/>
  <c r="M213" i="3"/>
  <c r="K212" i="3"/>
  <c r="K210" i="3"/>
  <c r="M208" i="3"/>
  <c r="M207" i="3"/>
  <c r="K204" i="3"/>
  <c r="N203" i="3"/>
  <c r="L203" i="3"/>
  <c r="K202" i="3"/>
  <c r="N201" i="3"/>
  <c r="L201" i="3"/>
  <c r="M200" i="3"/>
  <c r="M199" i="3"/>
  <c r="M113" i="3"/>
  <c r="M112" i="3"/>
  <c r="K110" i="3"/>
  <c r="N109" i="3"/>
  <c r="L109" i="3"/>
  <c r="K108" i="3"/>
  <c r="N107" i="3"/>
  <c r="L107" i="3"/>
  <c r="M106" i="3"/>
  <c r="M105" i="3"/>
  <c r="O515" i="3"/>
  <c r="I37" i="4" s="1"/>
  <c r="N515" i="3"/>
  <c r="M515" i="3"/>
  <c r="L515" i="3"/>
  <c r="F37" i="4" s="1"/>
  <c r="K515" i="3"/>
  <c r="L503" i="3"/>
  <c r="K503" i="3"/>
  <c r="L502" i="3"/>
  <c r="K502" i="3"/>
  <c r="D499" i="3"/>
  <c r="K159" i="3"/>
  <c r="K166" i="3" s="1"/>
  <c r="N158" i="3"/>
  <c r="L158" i="3"/>
  <c r="L166" i="3" s="1"/>
  <c r="N114" i="3"/>
  <c r="L114" i="3"/>
  <c r="M118" i="3"/>
  <c r="M117" i="3"/>
  <c r="K115" i="3"/>
  <c r="M157" i="3"/>
  <c r="M156" i="3"/>
  <c r="N145" i="3"/>
  <c r="M144" i="3"/>
  <c r="M143" i="3"/>
  <c r="N136" i="3"/>
  <c r="M135" i="3"/>
  <c r="M134" i="3"/>
  <c r="K132" i="3"/>
  <c r="N131" i="3"/>
  <c r="L131" i="3"/>
  <c r="K130" i="3"/>
  <c r="N129" i="3"/>
  <c r="L129" i="3"/>
  <c r="M128" i="3"/>
  <c r="M127" i="3"/>
  <c r="K125" i="3"/>
  <c r="N124" i="3"/>
  <c r="L124" i="3"/>
  <c r="M123" i="3"/>
  <c r="M122" i="3"/>
  <c r="K120" i="3"/>
  <c r="N119" i="3"/>
  <c r="L119" i="3"/>
  <c r="O104" i="3"/>
  <c r="I27" i="4" s="1"/>
  <c r="N104" i="3"/>
  <c r="M104" i="3"/>
  <c r="L104" i="3"/>
  <c r="K104" i="3"/>
  <c r="L92" i="3"/>
  <c r="K92" i="3"/>
  <c r="L91" i="3"/>
  <c r="K91" i="3"/>
  <c r="D88" i="3"/>
  <c r="O432" i="3"/>
  <c r="N432" i="3"/>
  <c r="H35" i="4" s="1"/>
  <c r="M432" i="3"/>
  <c r="L432" i="3"/>
  <c r="F35" i="4" s="1"/>
  <c r="K432" i="3"/>
  <c r="L420" i="3"/>
  <c r="K420" i="3"/>
  <c r="L419" i="3"/>
  <c r="K419" i="3"/>
  <c r="D416" i="3"/>
  <c r="O350" i="3"/>
  <c r="I33" i="4" s="1"/>
  <c r="N350" i="3"/>
  <c r="M350" i="3"/>
  <c r="L350" i="3"/>
  <c r="F33" i="4" s="1"/>
  <c r="K350" i="3"/>
  <c r="L338" i="3"/>
  <c r="K338" i="3"/>
  <c r="L337" i="3"/>
  <c r="K337" i="3"/>
  <c r="D334" i="3"/>
  <c r="O268" i="3"/>
  <c r="N268" i="3"/>
  <c r="M268" i="3"/>
  <c r="L268" i="3"/>
  <c r="K268" i="3"/>
  <c r="K256" i="3"/>
  <c r="K255" i="3"/>
  <c r="D252" i="3"/>
  <c r="K230" i="3"/>
  <c r="N229" i="3"/>
  <c r="L229" i="3"/>
  <c r="K228" i="3"/>
  <c r="N227" i="3"/>
  <c r="L227" i="3"/>
  <c r="K226" i="3"/>
  <c r="K224" i="3"/>
  <c r="M221" i="3"/>
  <c r="O186" i="3"/>
  <c r="I29" i="4" s="1"/>
  <c r="N186" i="3"/>
  <c r="M186" i="3"/>
  <c r="L186" i="3"/>
  <c r="K186" i="3"/>
  <c r="L174" i="3"/>
  <c r="K174" i="3"/>
  <c r="L173" i="3"/>
  <c r="K173" i="3"/>
  <c r="D170" i="3"/>
  <c r="O59" i="3"/>
  <c r="K57" i="3"/>
  <c r="N56" i="3"/>
  <c r="L56" i="3"/>
  <c r="K55" i="3"/>
  <c r="L54" i="3"/>
  <c r="M53" i="3"/>
  <c r="M52" i="3"/>
  <c r="K50" i="3"/>
  <c r="N49" i="3"/>
  <c r="L49" i="3"/>
  <c r="K48" i="3"/>
  <c r="N47" i="3"/>
  <c r="L47" i="3"/>
  <c r="M46" i="3"/>
  <c r="M45" i="3"/>
  <c r="Q43" i="3"/>
  <c r="K41" i="3"/>
  <c r="N40" i="3"/>
  <c r="L40" i="3"/>
  <c r="K39" i="3"/>
  <c r="N38" i="3"/>
  <c r="L38" i="3"/>
  <c r="M37" i="3"/>
  <c r="M36" i="3"/>
  <c r="M35" i="3"/>
  <c r="Q32" i="3"/>
  <c r="K31" i="3"/>
  <c r="N30" i="3"/>
  <c r="L30" i="3"/>
  <c r="K29" i="3"/>
  <c r="N28" i="3"/>
  <c r="L28" i="3"/>
  <c r="N27" i="3"/>
  <c r="M26" i="3"/>
  <c r="M25" i="3"/>
  <c r="P23" i="3"/>
  <c r="O23" i="3"/>
  <c r="I23" i="4" s="1"/>
  <c r="N23" i="3"/>
  <c r="H23" i="4" s="1"/>
  <c r="M23" i="3"/>
  <c r="G23" i="4" s="1"/>
  <c r="L23" i="3"/>
  <c r="F23" i="4" s="1"/>
  <c r="K23" i="3"/>
  <c r="E23" i="4" s="1"/>
  <c r="L11" i="3"/>
  <c r="F11" i="4" s="1"/>
  <c r="K11" i="3"/>
  <c r="E11" i="4" s="1"/>
  <c r="AE10" i="3"/>
  <c r="Y10" i="4" s="1"/>
  <c r="AD10" i="3"/>
  <c r="X10" i="4" s="1"/>
  <c r="AC10" i="3"/>
  <c r="W10" i="4" s="1"/>
  <c r="T10" i="3"/>
  <c r="N10" i="4" s="1"/>
  <c r="L10" i="3"/>
  <c r="F10" i="4" s="1"/>
  <c r="K10" i="3"/>
  <c r="E10" i="4" s="1"/>
  <c r="D7" i="3"/>
  <c r="L455" i="1"/>
  <c r="L453" i="1"/>
  <c r="L446" i="1"/>
  <c r="L444" i="1"/>
  <c r="L442" i="1"/>
  <c r="L440" i="1"/>
  <c r="L415" i="1"/>
  <c r="L417" i="1"/>
  <c r="L401" i="1"/>
  <c r="L399" i="1"/>
  <c r="L397" i="1"/>
  <c r="L395" i="1"/>
  <c r="L393" i="1"/>
  <c r="L391" i="1"/>
  <c r="L353" i="1"/>
  <c r="L351" i="1"/>
  <c r="L330" i="1"/>
  <c r="Q329" i="1"/>
  <c r="L316" i="1"/>
  <c r="L314" i="1"/>
  <c r="L310" i="1"/>
  <c r="L308" i="1"/>
  <c r="L324" i="1"/>
  <c r="L322" i="1"/>
  <c r="L304" i="1"/>
  <c r="L302" i="1"/>
  <c r="L296" i="1"/>
  <c r="L294" i="1"/>
  <c r="L328" i="1"/>
  <c r="L326" i="1"/>
  <c r="Q84" i="3" l="1"/>
  <c r="K25" i="4" s="1"/>
  <c r="Y494" i="3"/>
  <c r="S35" i="4" s="1"/>
  <c r="K329" i="3"/>
  <c r="E31" i="4" s="1"/>
  <c r="W494" i="3"/>
  <c r="Q35" i="4" s="1"/>
  <c r="N329" i="3"/>
  <c r="H31" i="4" s="1"/>
  <c r="O494" i="3"/>
  <c r="I35" i="4" s="1"/>
  <c r="H37" i="4"/>
  <c r="L82" i="4"/>
  <c r="K82" i="4"/>
  <c r="J68" i="4"/>
  <c r="J82" i="4" s="1"/>
  <c r="J66" i="4"/>
  <c r="I68" i="4"/>
  <c r="I82" i="4" s="1"/>
  <c r="I66" i="4"/>
  <c r="N165" i="3"/>
  <c r="H27" i="4" s="1"/>
  <c r="X39" i="4"/>
  <c r="X45" i="4" s="1"/>
  <c r="K165" i="3"/>
  <c r="E27" i="4" s="1"/>
  <c r="E37" i="4"/>
  <c r="M329" i="3"/>
  <c r="R494" i="3"/>
  <c r="L35" i="4" s="1"/>
  <c r="M84" i="3"/>
  <c r="L84" i="3"/>
  <c r="F25" i="4" s="1"/>
  <c r="O329" i="3"/>
  <c r="I31" i="4" s="1"/>
  <c r="N84" i="3"/>
  <c r="H25" i="4" s="1"/>
  <c r="Q331" i="3"/>
  <c r="Q329" i="3"/>
  <c r="K31" i="4" s="1"/>
  <c r="M247" i="3"/>
  <c r="G29" i="4" s="1"/>
  <c r="M411" i="3"/>
  <c r="G33" i="4" s="1"/>
  <c r="K84" i="3"/>
  <c r="E25" i="4" s="1"/>
  <c r="S86" i="3"/>
  <c r="M43" i="4" s="1"/>
  <c r="S84" i="3"/>
  <c r="M25" i="4" s="1"/>
  <c r="M165" i="3"/>
  <c r="G27" i="4" s="1"/>
  <c r="L247" i="3"/>
  <c r="F29" i="4" s="1"/>
  <c r="N411" i="3"/>
  <c r="H33" i="4" s="1"/>
  <c r="W247" i="3"/>
  <c r="Q29" i="4" s="1"/>
  <c r="O86" i="3"/>
  <c r="O84" i="3"/>
  <c r="I25" i="4" s="1"/>
  <c r="N247" i="3"/>
  <c r="H29" i="4" s="1"/>
  <c r="K411" i="3"/>
  <c r="E33" i="4" s="1"/>
  <c r="G37" i="4"/>
  <c r="Y39" i="4"/>
  <c r="Y45" i="4" s="1"/>
  <c r="W39" i="4"/>
  <c r="W45" i="4" s="1"/>
  <c r="L329" i="3"/>
  <c r="F31" i="4" s="1"/>
  <c r="L165" i="3"/>
  <c r="F27" i="4" s="1"/>
  <c r="K247" i="3"/>
  <c r="E29" i="4" s="1"/>
  <c r="E35" i="4"/>
  <c r="S248" i="3"/>
  <c r="S247" i="3"/>
  <c r="M29" i="4" s="1"/>
  <c r="Y577" i="3"/>
  <c r="S37" i="4"/>
  <c r="O248" i="2"/>
  <c r="E72" i="4" s="1"/>
  <c r="O249" i="2"/>
  <c r="F72" i="4"/>
  <c r="P249" i="2"/>
  <c r="N577" i="3"/>
  <c r="Z39" i="4"/>
  <c r="Z45" i="4" s="1"/>
  <c r="AF659" i="3"/>
  <c r="Z42" i="4" s="1"/>
  <c r="AD661" i="3"/>
  <c r="X44" i="4" s="1"/>
  <c r="K577" i="3"/>
  <c r="Y495" i="3"/>
  <c r="AE659" i="3"/>
  <c r="Y42" i="4" s="1"/>
  <c r="AC659" i="3"/>
  <c r="W42" i="4" s="1"/>
  <c r="S577" i="3"/>
  <c r="M577" i="3"/>
  <c r="AE660" i="3"/>
  <c r="Y43" i="4" s="1"/>
  <c r="AC660" i="3"/>
  <c r="W43" i="4" s="1"/>
  <c r="K495" i="3"/>
  <c r="W248" i="3"/>
  <c r="O495" i="3"/>
  <c r="I42" i="4" s="1"/>
  <c r="W495" i="3"/>
  <c r="M35" i="4"/>
  <c r="S495" i="3"/>
  <c r="R495" i="3"/>
  <c r="L42" i="4" s="1"/>
  <c r="M412" i="3"/>
  <c r="O331" i="3"/>
  <c r="M413" i="3"/>
  <c r="N412" i="3"/>
  <c r="K412" i="3"/>
  <c r="N413" i="3"/>
  <c r="K413" i="3"/>
  <c r="M331" i="3"/>
  <c r="N331" i="3"/>
  <c r="K331" i="3"/>
  <c r="N166" i="3"/>
  <c r="L167" i="3"/>
  <c r="K248" i="3"/>
  <c r="M248" i="3"/>
  <c r="L248" i="3"/>
  <c r="F42" i="4" s="1"/>
  <c r="Q86" i="3"/>
  <c r="N248" i="3"/>
  <c r="N167" i="3"/>
  <c r="M86" i="3"/>
  <c r="K167" i="3"/>
  <c r="L25" i="4"/>
  <c r="R86" i="3"/>
  <c r="L43" i="4" s="1"/>
  <c r="L86" i="3"/>
  <c r="N86" i="3"/>
  <c r="K86" i="3"/>
  <c r="M166" i="3"/>
  <c r="M167" i="3"/>
  <c r="J25" i="4"/>
  <c r="J45" i="4" s="1"/>
  <c r="J23" i="4"/>
  <c r="G31" i="4"/>
  <c r="G25" i="4"/>
  <c r="M37" i="4"/>
  <c r="G35" i="4"/>
  <c r="S416" i="2"/>
  <c r="L292" i="1"/>
  <c r="L290" i="1"/>
  <c r="L320" i="1"/>
  <c r="L318" i="1"/>
  <c r="L285" i="1"/>
  <c r="L287" i="1"/>
  <c r="L281" i="1"/>
  <c r="L277" i="1"/>
  <c r="L273" i="1"/>
  <c r="L271" i="1"/>
  <c r="L267" i="1"/>
  <c r="L265" i="1"/>
  <c r="L259" i="1"/>
  <c r="L257" i="1"/>
  <c r="Q245" i="1"/>
  <c r="L246" i="1"/>
  <c r="L219" i="1"/>
  <c r="L217" i="1"/>
  <c r="L205" i="1"/>
  <c r="L203" i="1"/>
  <c r="L201" i="1"/>
  <c r="L207" i="1"/>
  <c r="L194" i="1"/>
  <c r="L189" i="1"/>
  <c r="L187" i="1"/>
  <c r="L185" i="1"/>
  <c r="L183" i="1"/>
  <c r="L168" i="1"/>
  <c r="L166" i="1"/>
  <c r="L162" i="1"/>
  <c r="L160" i="1"/>
  <c r="L154" i="1"/>
  <c r="L152" i="1"/>
  <c r="M171" i="1"/>
  <c r="M169" i="1"/>
  <c r="L172" i="1"/>
  <c r="L170" i="1"/>
  <c r="M146" i="1"/>
  <c r="M144" i="1"/>
  <c r="M140" i="1"/>
  <c r="L147" i="1"/>
  <c r="L145" i="1"/>
  <c r="L141" i="1"/>
  <c r="M136" i="1"/>
  <c r="M134" i="1"/>
  <c r="L137" i="1"/>
  <c r="L135" i="1"/>
  <c r="M130" i="1"/>
  <c r="L131" i="1"/>
  <c r="M107" i="1"/>
  <c r="L108" i="1"/>
  <c r="M103" i="1"/>
  <c r="L104" i="1"/>
  <c r="M98" i="1"/>
  <c r="M96" i="1"/>
  <c r="L99" i="1"/>
  <c r="L97" i="1"/>
  <c r="M92" i="1"/>
  <c r="L93" i="1"/>
  <c r="M88" i="1"/>
  <c r="L89" i="1"/>
  <c r="M84" i="1"/>
  <c r="L85" i="1"/>
  <c r="M80" i="1"/>
  <c r="M78" i="1"/>
  <c r="L81" i="1"/>
  <c r="L79" i="1"/>
  <c r="M74" i="1"/>
  <c r="L75" i="1"/>
  <c r="M72" i="1"/>
  <c r="M70" i="1"/>
  <c r="L73" i="1"/>
  <c r="L71" i="1"/>
  <c r="M65" i="1"/>
  <c r="M63" i="1"/>
  <c r="L66" i="1"/>
  <c r="L64" i="1"/>
  <c r="M53" i="1"/>
  <c r="M51" i="1"/>
  <c r="L54" i="1"/>
  <c r="L52" i="1"/>
  <c r="M47" i="1"/>
  <c r="M45" i="1"/>
  <c r="L48" i="1"/>
  <c r="L46" i="1"/>
  <c r="M39" i="1"/>
  <c r="M37" i="1"/>
  <c r="L40" i="1"/>
  <c r="L38" i="1"/>
  <c r="L31" i="1"/>
  <c r="M30" i="1"/>
  <c r="L29" i="1"/>
  <c r="M28" i="1"/>
  <c r="P124" i="2"/>
  <c r="P130" i="2"/>
  <c r="P129" i="2"/>
  <c r="O129" i="2"/>
  <c r="P126" i="2"/>
  <c r="O126" i="2"/>
  <c r="P125" i="2"/>
  <c r="P123" i="2"/>
  <c r="P122" i="2"/>
  <c r="P121" i="2"/>
  <c r="O121" i="2"/>
  <c r="P120" i="2"/>
  <c r="P119" i="2"/>
  <c r="P166" i="2" s="1"/>
  <c r="O119" i="2"/>
  <c r="O166" i="2" s="1"/>
  <c r="P78" i="2"/>
  <c r="P77" i="2"/>
  <c r="O77" i="2"/>
  <c r="P76" i="2"/>
  <c r="P75" i="2"/>
  <c r="O75" i="2"/>
  <c r="P74" i="2"/>
  <c r="P73" i="2"/>
  <c r="O73" i="2"/>
  <c r="P72" i="2"/>
  <c r="P71" i="2"/>
  <c r="O71" i="2"/>
  <c r="P69" i="2"/>
  <c r="P68" i="2"/>
  <c r="O68" i="2"/>
  <c r="P67" i="2"/>
  <c r="P66" i="2"/>
  <c r="O66" i="2"/>
  <c r="P65" i="2"/>
  <c r="P64" i="2"/>
  <c r="O64" i="2"/>
  <c r="P63" i="2"/>
  <c r="P62" i="2"/>
  <c r="O62" i="2"/>
  <c r="P61" i="2"/>
  <c r="O61" i="2"/>
  <c r="P59" i="2"/>
  <c r="P58" i="2"/>
  <c r="O58" i="2"/>
  <c r="P57" i="2"/>
  <c r="O57" i="2"/>
  <c r="P56" i="2"/>
  <c r="O56" i="2"/>
  <c r="P54" i="2"/>
  <c r="O54" i="2"/>
  <c r="P49" i="2"/>
  <c r="O49" i="2"/>
  <c r="P48" i="2"/>
  <c r="P47" i="2"/>
  <c r="O47" i="2"/>
  <c r="P44" i="2"/>
  <c r="O44" i="2"/>
  <c r="O42" i="2"/>
  <c r="P39" i="2"/>
  <c r="O39" i="2"/>
  <c r="P37" i="2"/>
  <c r="P36" i="2"/>
  <c r="O36" i="2"/>
  <c r="P35" i="2"/>
  <c r="O35" i="2"/>
  <c r="P32" i="2"/>
  <c r="O32" i="2"/>
  <c r="P30" i="2"/>
  <c r="O30" i="2"/>
  <c r="P28" i="2"/>
  <c r="P27" i="2"/>
  <c r="O27" i="2"/>
  <c r="P26" i="2"/>
  <c r="P84" i="2" s="1"/>
  <c r="O26" i="2"/>
  <c r="O25" i="2"/>
  <c r="D7" i="2"/>
  <c r="O10" i="2"/>
  <c r="E53" i="4" s="1"/>
  <c r="P10" i="2"/>
  <c r="F53" i="4" s="1"/>
  <c r="Q10" i="2"/>
  <c r="G53" i="4" s="1"/>
  <c r="R10" i="2"/>
  <c r="H53" i="4" s="1"/>
  <c r="O11" i="2"/>
  <c r="E54" i="4" s="1"/>
  <c r="P11" i="2"/>
  <c r="F54" i="4" s="1"/>
  <c r="Q11" i="2"/>
  <c r="G54" i="4" s="1"/>
  <c r="R11" i="2"/>
  <c r="H54" i="4" s="1"/>
  <c r="O23" i="2"/>
  <c r="E66" i="4" s="1"/>
  <c r="P23" i="2"/>
  <c r="F66" i="4" s="1"/>
  <c r="Q23" i="2"/>
  <c r="R23" i="2"/>
  <c r="R269" i="2"/>
  <c r="H74" i="4" s="1"/>
  <c r="Q269" i="2"/>
  <c r="G74" i="4" s="1"/>
  <c r="P269" i="2"/>
  <c r="O269" i="2"/>
  <c r="E74" i="4" s="1"/>
  <c r="R257" i="2"/>
  <c r="Q257" i="2"/>
  <c r="P257" i="2"/>
  <c r="O257" i="2"/>
  <c r="R256" i="2"/>
  <c r="Q256" i="2"/>
  <c r="P256" i="2"/>
  <c r="O256" i="2"/>
  <c r="D253" i="2"/>
  <c r="R187" i="2"/>
  <c r="Q187" i="2"/>
  <c r="P187" i="2"/>
  <c r="O187" i="2"/>
  <c r="R175" i="2"/>
  <c r="Q175" i="2"/>
  <c r="P175" i="2"/>
  <c r="O175" i="2"/>
  <c r="R174" i="2"/>
  <c r="Q174" i="2"/>
  <c r="P174" i="2"/>
  <c r="O174" i="2"/>
  <c r="D171" i="2"/>
  <c r="R105" i="2"/>
  <c r="H70" i="4" s="1"/>
  <c r="Q105" i="2"/>
  <c r="G70" i="4" s="1"/>
  <c r="P105" i="2"/>
  <c r="O105" i="2"/>
  <c r="R93" i="2"/>
  <c r="Q93" i="2"/>
  <c r="P93" i="2"/>
  <c r="O93" i="2"/>
  <c r="R92" i="2"/>
  <c r="Q92" i="2"/>
  <c r="P92" i="2"/>
  <c r="O92" i="2"/>
  <c r="D89" i="2"/>
  <c r="L10" i="1"/>
  <c r="M10" i="1"/>
  <c r="L11" i="1"/>
  <c r="M11" i="1"/>
  <c r="L23" i="1"/>
  <c r="M23" i="1"/>
  <c r="L116" i="1"/>
  <c r="M116" i="1"/>
  <c r="L117" i="1"/>
  <c r="M117" i="1"/>
  <c r="L129" i="1"/>
  <c r="M129" i="1"/>
  <c r="L222" i="1"/>
  <c r="M222" i="1"/>
  <c r="L227" i="1"/>
  <c r="L228" i="1"/>
  <c r="L240" i="1"/>
  <c r="M240" i="1"/>
  <c r="L331" i="1"/>
  <c r="M331" i="1"/>
  <c r="L336" i="1"/>
  <c r="M336" i="1"/>
  <c r="L337" i="1"/>
  <c r="M337" i="1"/>
  <c r="L349" i="1"/>
  <c r="M349" i="1"/>
  <c r="L420" i="1"/>
  <c r="M420" i="1"/>
  <c r="L425" i="1"/>
  <c r="M425" i="1"/>
  <c r="L426" i="1"/>
  <c r="M426" i="1"/>
  <c r="L438" i="1"/>
  <c r="M438" i="1"/>
  <c r="L505" i="1"/>
  <c r="M505" i="1"/>
  <c r="L510" i="1"/>
  <c r="M510" i="1"/>
  <c r="L511" i="1"/>
  <c r="M511" i="1"/>
  <c r="L523" i="1"/>
  <c r="M523" i="1"/>
  <c r="L586" i="1"/>
  <c r="M586" i="1"/>
  <c r="L591" i="1"/>
  <c r="M591" i="1"/>
  <c r="L592" i="1"/>
  <c r="M592" i="1"/>
  <c r="L604" i="1"/>
  <c r="M604" i="1"/>
  <c r="L665" i="1"/>
  <c r="M665" i="1"/>
  <c r="L670" i="1"/>
  <c r="M670" i="1"/>
  <c r="L671" i="1"/>
  <c r="M671" i="1"/>
  <c r="L683" i="1"/>
  <c r="M683" i="1"/>
  <c r="L744" i="1"/>
  <c r="M744" i="1"/>
  <c r="L749" i="1"/>
  <c r="M749" i="1"/>
  <c r="L750" i="1"/>
  <c r="M750" i="1"/>
  <c r="L762" i="1"/>
  <c r="M762" i="1"/>
  <c r="L823" i="1"/>
  <c r="M823" i="1"/>
  <c r="AG569" i="1"/>
  <c r="AF569" i="1"/>
  <c r="Q56" i="1"/>
  <c r="T356" i="1"/>
  <c r="O215" i="1"/>
  <c r="O214" i="1"/>
  <c r="N213" i="1"/>
  <c r="N210" i="1"/>
  <c r="Q206" i="1"/>
  <c r="X204" i="1"/>
  <c r="P136" i="1"/>
  <c r="P98" i="1"/>
  <c r="P80" i="1"/>
  <c r="K43" i="4" l="1"/>
  <c r="E42" i="4"/>
  <c r="P86" i="2"/>
  <c r="F80" i="4" s="1"/>
  <c r="H68" i="4"/>
  <c r="H82" i="4" s="1"/>
  <c r="H66" i="4"/>
  <c r="G68" i="4"/>
  <c r="G82" i="4" s="1"/>
  <c r="G66" i="4"/>
  <c r="O86" i="2"/>
  <c r="E80" i="4" s="1"/>
  <c r="O84" i="2"/>
  <c r="E68" i="4" s="1"/>
  <c r="G43" i="4"/>
  <c r="Q42" i="4"/>
  <c r="H43" i="4"/>
  <c r="S45" i="4"/>
  <c r="F43" i="4"/>
  <c r="H42" i="4"/>
  <c r="S42" i="4"/>
  <c r="M42" i="4"/>
  <c r="I43" i="4"/>
  <c r="G42" i="4"/>
  <c r="E43" i="4"/>
  <c r="O167" i="2"/>
  <c r="P167" i="2"/>
  <c r="O85" i="2"/>
  <c r="E79" i="4" s="1"/>
  <c r="P85" i="2"/>
  <c r="F79" i="4" s="1"/>
  <c r="L45" i="4"/>
  <c r="Q45" i="4"/>
  <c r="K45" i="4"/>
  <c r="F45" i="4"/>
  <c r="E45" i="4"/>
  <c r="M45" i="4"/>
  <c r="H45" i="4"/>
  <c r="I45" i="4"/>
  <c r="G45" i="4"/>
  <c r="E70" i="4"/>
  <c r="F70" i="4"/>
  <c r="F74" i="4"/>
  <c r="M111" i="1"/>
  <c r="L111" i="1"/>
  <c r="F68" i="4"/>
  <c r="P74" i="1"/>
  <c r="P30" i="1"/>
  <c r="O255" i="1"/>
  <c r="O254" i="1"/>
  <c r="O253" i="1"/>
  <c r="O252" i="1"/>
  <c r="AG795" i="1"/>
  <c r="AG794" i="1"/>
  <c r="AF795" i="1"/>
  <c r="AF794" i="1"/>
  <c r="AG793" i="1"/>
  <c r="AG792" i="1"/>
  <c r="AF792" i="1"/>
  <c r="AG791" i="1"/>
  <c r="AG790" i="1"/>
  <c r="AF790" i="1"/>
  <c r="AF786" i="1"/>
  <c r="AG786" i="1"/>
  <c r="AG787" i="1"/>
  <c r="AG785" i="1"/>
  <c r="AG784" i="1"/>
  <c r="AF784" i="1"/>
  <c r="AG783" i="1"/>
  <c r="AF783" i="1"/>
  <c r="AG782" i="1"/>
  <c r="AF782" i="1"/>
  <c r="AG781" i="1"/>
  <c r="AG780" i="1"/>
  <c r="AF780" i="1"/>
  <c r="AG779" i="1"/>
  <c r="AG778" i="1"/>
  <c r="AF778" i="1"/>
  <c r="AG767" i="1"/>
  <c r="AF767" i="1"/>
  <c r="AF743" i="1"/>
  <c r="AG743" i="1"/>
  <c r="AG763" i="1"/>
  <c r="AG764" i="1"/>
  <c r="AG742" i="1"/>
  <c r="AF742" i="1"/>
  <c r="AG741" i="1"/>
  <c r="AF741" i="1"/>
  <c r="AG740" i="1"/>
  <c r="AG739" i="1"/>
  <c r="AF739" i="1"/>
  <c r="AG738" i="1"/>
  <c r="AG737" i="1"/>
  <c r="AF737" i="1"/>
  <c r="AG736" i="1"/>
  <c r="AG735" i="1"/>
  <c r="AG734" i="1"/>
  <c r="AG733" i="1"/>
  <c r="AF733" i="1"/>
  <c r="AF731" i="1"/>
  <c r="AG731" i="1"/>
  <c r="AG732" i="1"/>
  <c r="AG727" i="1"/>
  <c r="AF727" i="1"/>
  <c r="AG726" i="1"/>
  <c r="AG725" i="1"/>
  <c r="AF725" i="1"/>
  <c r="AG724" i="1"/>
  <c r="AG723" i="1"/>
  <c r="AF723" i="1"/>
  <c r="AG722" i="1"/>
  <c r="AF722" i="1"/>
  <c r="AF720" i="1"/>
  <c r="AG721" i="1"/>
  <c r="AG720" i="1"/>
  <c r="AG719" i="1"/>
  <c r="AG718" i="1"/>
  <c r="AG717" i="1"/>
  <c r="AF717" i="1"/>
  <c r="AF713" i="1"/>
  <c r="AG713" i="1"/>
  <c r="AG714" i="1"/>
  <c r="AG715" i="1"/>
  <c r="AG716" i="1"/>
  <c r="AF711" i="1"/>
  <c r="AG712" i="1"/>
  <c r="AG711" i="1"/>
  <c r="AG710" i="1"/>
  <c r="AF708" i="1"/>
  <c r="AG708" i="1"/>
  <c r="AG709" i="1"/>
  <c r="AG707" i="1"/>
  <c r="AF707" i="1"/>
  <c r="AF706" i="1"/>
  <c r="AG706" i="1"/>
  <c r="AF703" i="1"/>
  <c r="AG705" i="1"/>
  <c r="AF705" i="1"/>
  <c r="AF704" i="1"/>
  <c r="AG704" i="1"/>
  <c r="AG703" i="1"/>
  <c r="AF700" i="1"/>
  <c r="AF701" i="1"/>
  <c r="AF702" i="1"/>
  <c r="AF699" i="1"/>
  <c r="AG700" i="1"/>
  <c r="AG701" i="1"/>
  <c r="AG702" i="1"/>
  <c r="AG699" i="1"/>
  <c r="AG698" i="1"/>
  <c r="AF697" i="1"/>
  <c r="AG697" i="1"/>
  <c r="AF696" i="1"/>
  <c r="AG696" i="1"/>
  <c r="AG689" i="1"/>
  <c r="AG688" i="1"/>
  <c r="AF688" i="1"/>
  <c r="AG687" i="1"/>
  <c r="AF687" i="1"/>
  <c r="AG686" i="1"/>
  <c r="AG685" i="1"/>
  <c r="AF685" i="1"/>
  <c r="AG684" i="1"/>
  <c r="AG664" i="1"/>
  <c r="AF664" i="1"/>
  <c r="AF661" i="1"/>
  <c r="AG663" i="1"/>
  <c r="AG662" i="1"/>
  <c r="AG661" i="1"/>
  <c r="AG660" i="1"/>
  <c r="AG659" i="1"/>
  <c r="AF659" i="1"/>
  <c r="Y823" i="1"/>
  <c r="W823" i="1"/>
  <c r="V823" i="1"/>
  <c r="U823" i="1"/>
  <c r="T823" i="1"/>
  <c r="S823" i="1"/>
  <c r="R823" i="1"/>
  <c r="K823" i="1"/>
  <c r="AI762" i="1"/>
  <c r="AI823" i="1" s="1"/>
  <c r="AH762" i="1"/>
  <c r="AH823" i="1" s="1"/>
  <c r="AG762" i="1"/>
  <c r="AF762" i="1"/>
  <c r="AE762" i="1"/>
  <c r="AE823" i="1" s="1"/>
  <c r="AD762" i="1"/>
  <c r="AD823" i="1" s="1"/>
  <c r="AC762" i="1"/>
  <c r="AC823" i="1" s="1"/>
  <c r="AB762" i="1"/>
  <c r="AB823" i="1" s="1"/>
  <c r="AA762" i="1"/>
  <c r="AA823" i="1" s="1"/>
  <c r="Z762" i="1"/>
  <c r="Z823" i="1" s="1"/>
  <c r="X762" i="1"/>
  <c r="X823" i="1" s="1"/>
  <c r="Q762" i="1"/>
  <c r="Q823" i="1" s="1"/>
  <c r="P762" i="1"/>
  <c r="P823" i="1" s="1"/>
  <c r="O762" i="1"/>
  <c r="O823" i="1" s="1"/>
  <c r="N762" i="1"/>
  <c r="N823" i="1" s="1"/>
  <c r="AI750" i="1"/>
  <c r="AH750" i="1"/>
  <c r="AG750" i="1"/>
  <c r="AF750" i="1"/>
  <c r="AE750" i="1"/>
  <c r="AD750" i="1"/>
  <c r="AC750" i="1"/>
  <c r="AI749" i="1"/>
  <c r="AH749" i="1"/>
  <c r="AG749" i="1"/>
  <c r="AF749" i="1"/>
  <c r="AE749" i="1"/>
  <c r="AD749" i="1"/>
  <c r="AC749" i="1"/>
  <c r="D746" i="1"/>
  <c r="AG649" i="1"/>
  <c r="AG648" i="1"/>
  <c r="AF648" i="1"/>
  <c r="AF647" i="1"/>
  <c r="AG647" i="1"/>
  <c r="AG642" i="1"/>
  <c r="AG641" i="1"/>
  <c r="AF641" i="1"/>
  <c r="AG640" i="1"/>
  <c r="AF640" i="1"/>
  <c r="AG639" i="1"/>
  <c r="AF639" i="1"/>
  <c r="AG638" i="1"/>
  <c r="AG637" i="1"/>
  <c r="AF637" i="1"/>
  <c r="AG634" i="1"/>
  <c r="AG633" i="1"/>
  <c r="AG632" i="1"/>
  <c r="AF634" i="1"/>
  <c r="AF633" i="1"/>
  <c r="AF632" i="1"/>
  <c r="AG627" i="1"/>
  <c r="AF627" i="1"/>
  <c r="AG628" i="1"/>
  <c r="AG624" i="1"/>
  <c r="AG623" i="1"/>
  <c r="AG622" i="1"/>
  <c r="AF622" i="1"/>
  <c r="AG621" i="1"/>
  <c r="AF621" i="1"/>
  <c r="AG620" i="1"/>
  <c r="AG619" i="1"/>
  <c r="AG618" i="1"/>
  <c r="AF618" i="1"/>
  <c r="AG617" i="1"/>
  <c r="AG616" i="1"/>
  <c r="AF616" i="1"/>
  <c r="AF615" i="1"/>
  <c r="AG615" i="1"/>
  <c r="AG610" i="1"/>
  <c r="AG609" i="1"/>
  <c r="AG608" i="1"/>
  <c r="AF608" i="1"/>
  <c r="AG607" i="1"/>
  <c r="AF607" i="1"/>
  <c r="AG606" i="1"/>
  <c r="AF606" i="1"/>
  <c r="AF605" i="1"/>
  <c r="AG605" i="1"/>
  <c r="AF582" i="1"/>
  <c r="AF585" i="1"/>
  <c r="AG585" i="1"/>
  <c r="AG584" i="1"/>
  <c r="AF584" i="1"/>
  <c r="AF583" i="1"/>
  <c r="AG583" i="1"/>
  <c r="AG582" i="1"/>
  <c r="AF579" i="1"/>
  <c r="AG581" i="1"/>
  <c r="AG580" i="1"/>
  <c r="AG579" i="1"/>
  <c r="AG578" i="1"/>
  <c r="AG577" i="1"/>
  <c r="AG576" i="1"/>
  <c r="AG575" i="1"/>
  <c r="AF575" i="1"/>
  <c r="AG574" i="1"/>
  <c r="AF574" i="1"/>
  <c r="AG573" i="1"/>
  <c r="AF572" i="1"/>
  <c r="AG572" i="1"/>
  <c r="AG571" i="1"/>
  <c r="AG570" i="1"/>
  <c r="AF570" i="1"/>
  <c r="AG567" i="1"/>
  <c r="AF568" i="1"/>
  <c r="AG568" i="1"/>
  <c r="AG565" i="1"/>
  <c r="AG564" i="1"/>
  <c r="AF557" i="1"/>
  <c r="AG557" i="1"/>
  <c r="AG558" i="1"/>
  <c r="AF559" i="1"/>
  <c r="AG559" i="1"/>
  <c r="AG560" i="1"/>
  <c r="AF561" i="1"/>
  <c r="AG561" i="1"/>
  <c r="AG562" i="1"/>
  <c r="AF563" i="1"/>
  <c r="AG563" i="1"/>
  <c r="AF553" i="1"/>
  <c r="AG553" i="1"/>
  <c r="AG554" i="1"/>
  <c r="AF555" i="1"/>
  <c r="AG555" i="1"/>
  <c r="AG556" i="1"/>
  <c r="AF551" i="1"/>
  <c r="AG551" i="1"/>
  <c r="AG552" i="1"/>
  <c r="AF549" i="1"/>
  <c r="AG549" i="1"/>
  <c r="AG550" i="1"/>
  <c r="AF545" i="1"/>
  <c r="AG545" i="1"/>
  <c r="AG546" i="1"/>
  <c r="AF547" i="1"/>
  <c r="AG547" i="1"/>
  <c r="AG548" i="1"/>
  <c r="AF541" i="1"/>
  <c r="AG541" i="1"/>
  <c r="AG542" i="1"/>
  <c r="AF543" i="1"/>
  <c r="AG543" i="1"/>
  <c r="AG544" i="1"/>
  <c r="AF539" i="1"/>
  <c r="AG539" i="1"/>
  <c r="AG540" i="1"/>
  <c r="AF537" i="1"/>
  <c r="AG537" i="1"/>
  <c r="AG538" i="1"/>
  <c r="AG536" i="1"/>
  <c r="AG535" i="1"/>
  <c r="AF535" i="1"/>
  <c r="AG534" i="1"/>
  <c r="AG533" i="1"/>
  <c r="AF533" i="1"/>
  <c r="AG532" i="1"/>
  <c r="AF532" i="1"/>
  <c r="AG531" i="1"/>
  <c r="AG530" i="1"/>
  <c r="AF530" i="1"/>
  <c r="AG529" i="1"/>
  <c r="AF529" i="1"/>
  <c r="AG528" i="1"/>
  <c r="AF528" i="1"/>
  <c r="AG526" i="1"/>
  <c r="AF526" i="1"/>
  <c r="AG524" i="1"/>
  <c r="AF524" i="1"/>
  <c r="Y744" i="1"/>
  <c r="W744" i="1"/>
  <c r="V744" i="1"/>
  <c r="U744" i="1"/>
  <c r="T744" i="1"/>
  <c r="S744" i="1"/>
  <c r="R744" i="1"/>
  <c r="K744" i="1"/>
  <c r="AI683" i="1"/>
  <c r="AI744" i="1" s="1"/>
  <c r="AH683" i="1"/>
  <c r="AH744" i="1" s="1"/>
  <c r="AG683" i="1"/>
  <c r="AF683" i="1"/>
  <c r="AE683" i="1"/>
  <c r="AE744" i="1" s="1"/>
  <c r="AD683" i="1"/>
  <c r="AD744" i="1" s="1"/>
  <c r="AC683" i="1"/>
  <c r="AC744" i="1" s="1"/>
  <c r="AB683" i="1"/>
  <c r="AB744" i="1" s="1"/>
  <c r="AA683" i="1"/>
  <c r="AA744" i="1" s="1"/>
  <c r="Z683" i="1"/>
  <c r="Z744" i="1" s="1"/>
  <c r="X683" i="1"/>
  <c r="X744" i="1" s="1"/>
  <c r="Q683" i="1"/>
  <c r="Q744" i="1" s="1"/>
  <c r="P683" i="1"/>
  <c r="P744" i="1" s="1"/>
  <c r="O683" i="1"/>
  <c r="O744" i="1" s="1"/>
  <c r="N683" i="1"/>
  <c r="N744" i="1" s="1"/>
  <c r="AI671" i="1"/>
  <c r="AH671" i="1"/>
  <c r="AG671" i="1"/>
  <c r="AF671" i="1"/>
  <c r="AE671" i="1"/>
  <c r="AD671" i="1"/>
  <c r="AC671" i="1"/>
  <c r="AI670" i="1"/>
  <c r="AH670" i="1"/>
  <c r="AG670" i="1"/>
  <c r="AF670" i="1"/>
  <c r="AE670" i="1"/>
  <c r="AD670" i="1"/>
  <c r="AC670" i="1"/>
  <c r="D667" i="1"/>
  <c r="Y665" i="1"/>
  <c r="W665" i="1"/>
  <c r="V665" i="1"/>
  <c r="U665" i="1"/>
  <c r="T665" i="1"/>
  <c r="S665" i="1"/>
  <c r="R665" i="1"/>
  <c r="K665" i="1"/>
  <c r="AI604" i="1"/>
  <c r="AI665" i="1" s="1"/>
  <c r="AH604" i="1"/>
  <c r="AH665" i="1" s="1"/>
  <c r="AG604" i="1"/>
  <c r="AF604" i="1"/>
  <c r="AE604" i="1"/>
  <c r="AE665" i="1" s="1"/>
  <c r="AD604" i="1"/>
  <c r="AD665" i="1" s="1"/>
  <c r="AC604" i="1"/>
  <c r="AC665" i="1" s="1"/>
  <c r="AB604" i="1"/>
  <c r="AB665" i="1" s="1"/>
  <c r="AA604" i="1"/>
  <c r="AA665" i="1" s="1"/>
  <c r="Z604" i="1"/>
  <c r="Z665" i="1" s="1"/>
  <c r="X604" i="1"/>
  <c r="X665" i="1" s="1"/>
  <c r="Q604" i="1"/>
  <c r="Q665" i="1" s="1"/>
  <c r="P604" i="1"/>
  <c r="P665" i="1" s="1"/>
  <c r="O604" i="1"/>
  <c r="O665" i="1" s="1"/>
  <c r="N604" i="1"/>
  <c r="N665" i="1" s="1"/>
  <c r="AI592" i="1"/>
  <c r="AH592" i="1"/>
  <c r="AG592" i="1"/>
  <c r="AF592" i="1"/>
  <c r="AE592" i="1"/>
  <c r="AD592" i="1"/>
  <c r="AC592" i="1"/>
  <c r="AI591" i="1"/>
  <c r="AH591" i="1"/>
  <c r="AG591" i="1"/>
  <c r="AF591" i="1"/>
  <c r="AE591" i="1"/>
  <c r="AD591" i="1"/>
  <c r="AC591" i="1"/>
  <c r="D588" i="1"/>
  <c r="AG503" i="1"/>
  <c r="AF503" i="1"/>
  <c r="AG502" i="1"/>
  <c r="AG501" i="1"/>
  <c r="AF501" i="1"/>
  <c r="AG499" i="1"/>
  <c r="AF499" i="1"/>
  <c r="AG497" i="1"/>
  <c r="AF497" i="1"/>
  <c r="AG495" i="1"/>
  <c r="AF495" i="1"/>
  <c r="AG493" i="1"/>
  <c r="AG494" i="1"/>
  <c r="AF493" i="1"/>
  <c r="AG492" i="1"/>
  <c r="AF492" i="1"/>
  <c r="AG489" i="1"/>
  <c r="AF489" i="1"/>
  <c r="AG487" i="1"/>
  <c r="AF487" i="1"/>
  <c r="AG486" i="1"/>
  <c r="AF485" i="1"/>
  <c r="AG484" i="1"/>
  <c r="AG485" i="1"/>
  <c r="AF484" i="1"/>
  <c r="AG483" i="1"/>
  <c r="AF483" i="1"/>
  <c r="AE481" i="1"/>
  <c r="AD480" i="1"/>
  <c r="AD479" i="1"/>
  <c r="AD478" i="1"/>
  <c r="AD477" i="1"/>
  <c r="AD476" i="1"/>
  <c r="AD475" i="1"/>
  <c r="AD474" i="1"/>
  <c r="AD473" i="1"/>
  <c r="AD472" i="1"/>
  <c r="AD471" i="1"/>
  <c r="AD470" i="1"/>
  <c r="AC469" i="1"/>
  <c r="AC468" i="1"/>
  <c r="AB467" i="1"/>
  <c r="AB466" i="1"/>
  <c r="AB465" i="1"/>
  <c r="AB464" i="1"/>
  <c r="AB463" i="1"/>
  <c r="AB462" i="1"/>
  <c r="AB461" i="1"/>
  <c r="AB460" i="1"/>
  <c r="AB459" i="1"/>
  <c r="AB458" i="1"/>
  <c r="AI438" i="1"/>
  <c r="AH438" i="1"/>
  <c r="AG438" i="1"/>
  <c r="AF438" i="1"/>
  <c r="AI426" i="1"/>
  <c r="AH426" i="1"/>
  <c r="AG426" i="1"/>
  <c r="AF426" i="1"/>
  <c r="AI425" i="1"/>
  <c r="AH425" i="1"/>
  <c r="AG425" i="1"/>
  <c r="AF425" i="1"/>
  <c r="AE523" i="1"/>
  <c r="AE586" i="1" s="1"/>
  <c r="AD523" i="1"/>
  <c r="AD586" i="1" s="1"/>
  <c r="AC523" i="1"/>
  <c r="AC586" i="1" s="1"/>
  <c r="AB523" i="1"/>
  <c r="AB586" i="1" s="1"/>
  <c r="AE511" i="1"/>
  <c r="AD511" i="1"/>
  <c r="AC511" i="1"/>
  <c r="AE510" i="1"/>
  <c r="AD510" i="1"/>
  <c r="AC510" i="1"/>
  <c r="AE438" i="1"/>
  <c r="AD438" i="1"/>
  <c r="AC438" i="1"/>
  <c r="AB438" i="1"/>
  <c r="AE426" i="1"/>
  <c r="AD426" i="1"/>
  <c r="AC426" i="1"/>
  <c r="AE349" i="1"/>
  <c r="AE420" i="1" s="1"/>
  <c r="AD349" i="1"/>
  <c r="AD420" i="1" s="1"/>
  <c r="AC349" i="1"/>
  <c r="AC420" i="1" s="1"/>
  <c r="AB349" i="1"/>
  <c r="AB420" i="1" s="1"/>
  <c r="AE337" i="1"/>
  <c r="AD337" i="1"/>
  <c r="AC337" i="1"/>
  <c r="AE336" i="1"/>
  <c r="AD336" i="1"/>
  <c r="AC336" i="1"/>
  <c r="AE240" i="1"/>
  <c r="AE331" i="1" s="1"/>
  <c r="AD240" i="1"/>
  <c r="AD331" i="1" s="1"/>
  <c r="AC240" i="1"/>
  <c r="AC331" i="1" s="1"/>
  <c r="AB240" i="1"/>
  <c r="AB331" i="1" s="1"/>
  <c r="AE228" i="1"/>
  <c r="AD228" i="1"/>
  <c r="AC228" i="1"/>
  <c r="AE227" i="1"/>
  <c r="AD227" i="1"/>
  <c r="AC227" i="1"/>
  <c r="AE129" i="1"/>
  <c r="AE222" i="1" s="1"/>
  <c r="AD129" i="1"/>
  <c r="AD222" i="1" s="1"/>
  <c r="AC129" i="1"/>
  <c r="AC222" i="1" s="1"/>
  <c r="AB129" i="1"/>
  <c r="AB222" i="1" s="1"/>
  <c r="AE117" i="1"/>
  <c r="AD117" i="1"/>
  <c r="AC117" i="1"/>
  <c r="AE116" i="1"/>
  <c r="AD116" i="1"/>
  <c r="AC116" i="1"/>
  <c r="AE23" i="1"/>
  <c r="AE111" i="1" s="1"/>
  <c r="AD23" i="1"/>
  <c r="AD111" i="1" s="1"/>
  <c r="AC23" i="1"/>
  <c r="AC111" i="1" s="1"/>
  <c r="AB23" i="1"/>
  <c r="AB111" i="1" s="1"/>
  <c r="AE11" i="1"/>
  <c r="AD11" i="1"/>
  <c r="AC11" i="1"/>
  <c r="AE10" i="1"/>
  <c r="AD10" i="1"/>
  <c r="AC10" i="1"/>
  <c r="F82" i="4" l="1"/>
  <c r="E82" i="4"/>
  <c r="AF823" i="1"/>
  <c r="AG823" i="1"/>
  <c r="AF744" i="1"/>
  <c r="AG744" i="1"/>
  <c r="AF665" i="1"/>
  <c r="AG665" i="1"/>
  <c r="AD505" i="1"/>
  <c r="AE505" i="1"/>
  <c r="AC505" i="1"/>
  <c r="AB505" i="1"/>
  <c r="X373" i="1" l="1"/>
  <c r="T457" i="1"/>
  <c r="T505" i="1" s="1"/>
  <c r="P454" i="1"/>
  <c r="P452" i="1"/>
  <c r="N451" i="1"/>
  <c r="N450" i="1"/>
  <c r="P445" i="1"/>
  <c r="P443" i="1"/>
  <c r="O441" i="1"/>
  <c r="O439" i="1"/>
  <c r="N419" i="1"/>
  <c r="N418" i="1"/>
  <c r="P416" i="1"/>
  <c r="P414" i="1"/>
  <c r="N413" i="1"/>
  <c r="N412" i="1"/>
  <c r="Z411" i="1"/>
  <c r="Q400" i="1"/>
  <c r="Q398" i="1"/>
  <c r="P396" i="1"/>
  <c r="P394" i="1"/>
  <c r="O392" i="1"/>
  <c r="O390" i="1"/>
  <c r="N389" i="1"/>
  <c r="N388" i="1"/>
  <c r="Z385" i="1"/>
  <c r="Z384" i="1"/>
  <c r="X377" i="1"/>
  <c r="X376" i="1"/>
  <c r="X375" i="1"/>
  <c r="X374" i="1"/>
  <c r="X372" i="1"/>
  <c r="S355" i="1"/>
  <c r="S354" i="1"/>
  <c r="Q352" i="1"/>
  <c r="Q350" i="1"/>
  <c r="Q327" i="1"/>
  <c r="Q325" i="1"/>
  <c r="P323" i="1"/>
  <c r="P321" i="1"/>
  <c r="P319" i="1"/>
  <c r="P317" i="1"/>
  <c r="O315" i="1"/>
  <c r="O313" i="1"/>
  <c r="N311" i="1"/>
  <c r="O309" i="1"/>
  <c r="O307" i="1"/>
  <c r="N305" i="1"/>
  <c r="O303" i="1"/>
  <c r="O301" i="1"/>
  <c r="N299" i="1"/>
  <c r="N297" i="1"/>
  <c r="N295" i="1"/>
  <c r="N293" i="1"/>
  <c r="O291" i="1"/>
  <c r="O289" i="1"/>
  <c r="N288" i="1"/>
  <c r="P286" i="1"/>
  <c r="P284" i="1"/>
  <c r="N283" i="1"/>
  <c r="N282" i="1"/>
  <c r="P280" i="1"/>
  <c r="N279" i="1"/>
  <c r="N278" i="1"/>
  <c r="P276" i="1"/>
  <c r="N275" i="1"/>
  <c r="N274" i="1"/>
  <c r="P272" i="1"/>
  <c r="P270" i="1"/>
  <c r="N269" i="1"/>
  <c r="N268" i="1"/>
  <c r="P266" i="1"/>
  <c r="P264" i="1"/>
  <c r="N263" i="1"/>
  <c r="N262" i="1"/>
  <c r="S261" i="1"/>
  <c r="S260" i="1"/>
  <c r="P258" i="1"/>
  <c r="P256" i="1"/>
  <c r="D507" i="1"/>
  <c r="AF510" i="1"/>
  <c r="AG510" i="1"/>
  <c r="AH510" i="1"/>
  <c r="AI510" i="1"/>
  <c r="AF511" i="1"/>
  <c r="AG511" i="1"/>
  <c r="AH511" i="1"/>
  <c r="AI511" i="1"/>
  <c r="N523" i="1"/>
  <c r="N586" i="1" s="1"/>
  <c r="O523" i="1"/>
  <c r="O586" i="1" s="1"/>
  <c r="P523" i="1"/>
  <c r="P586" i="1" s="1"/>
  <c r="Q523" i="1"/>
  <c r="Q586" i="1" s="1"/>
  <c r="X523" i="1"/>
  <c r="X586" i="1" s="1"/>
  <c r="Z523" i="1"/>
  <c r="Z586" i="1" s="1"/>
  <c r="AA523" i="1"/>
  <c r="AA586" i="1" s="1"/>
  <c r="AF523" i="1"/>
  <c r="AF586" i="1" s="1"/>
  <c r="AG523" i="1"/>
  <c r="AG586" i="1" s="1"/>
  <c r="AH523" i="1"/>
  <c r="AH586" i="1" s="1"/>
  <c r="AI523" i="1"/>
  <c r="AI586" i="1" s="1"/>
  <c r="K586" i="1"/>
  <c r="R586" i="1"/>
  <c r="S586" i="1"/>
  <c r="T586" i="1"/>
  <c r="U586" i="1"/>
  <c r="V586" i="1"/>
  <c r="W586" i="1"/>
  <c r="Y586" i="1"/>
  <c r="AI505" i="1"/>
  <c r="AH505" i="1"/>
  <c r="AG505" i="1"/>
  <c r="AF505" i="1"/>
  <c r="Y505" i="1"/>
  <c r="W505" i="1"/>
  <c r="V505" i="1"/>
  <c r="U505" i="1"/>
  <c r="S505" i="1"/>
  <c r="R505" i="1"/>
  <c r="K505" i="1"/>
  <c r="AA438" i="1"/>
  <c r="AA505" i="1" s="1"/>
  <c r="Z438" i="1"/>
  <c r="Z505" i="1" s="1"/>
  <c r="X438" i="1"/>
  <c r="X505" i="1" s="1"/>
  <c r="Q438" i="1"/>
  <c r="Q505" i="1" s="1"/>
  <c r="P438" i="1"/>
  <c r="O438" i="1"/>
  <c r="N438" i="1"/>
  <c r="D422" i="1"/>
  <c r="AA23" i="1"/>
  <c r="Z23" i="1"/>
  <c r="AA129" i="1"/>
  <c r="Z129" i="1"/>
  <c r="AA240" i="1"/>
  <c r="Z240" i="1"/>
  <c r="X349" i="1"/>
  <c r="Q349" i="1"/>
  <c r="P349" i="1"/>
  <c r="O349" i="1"/>
  <c r="N349" i="1"/>
  <c r="X176" i="1"/>
  <c r="X175" i="1"/>
  <c r="X174" i="1"/>
  <c r="N250" i="1"/>
  <c r="N251" i="1"/>
  <c r="N248" i="1"/>
  <c r="N249" i="1"/>
  <c r="N247" i="1"/>
  <c r="S242" i="1"/>
  <c r="S241" i="1"/>
  <c r="X240" i="1"/>
  <c r="Q240" i="1"/>
  <c r="P240" i="1"/>
  <c r="O240" i="1"/>
  <c r="N240" i="1"/>
  <c r="P218" i="1"/>
  <c r="P216" i="1"/>
  <c r="N211" i="1"/>
  <c r="N212" i="1"/>
  <c r="N209" i="1"/>
  <c r="N208" i="1"/>
  <c r="P202" i="1"/>
  <c r="P200" i="1"/>
  <c r="N199" i="1"/>
  <c r="N198" i="1"/>
  <c r="P197" i="1"/>
  <c r="N196" i="1"/>
  <c r="N195" i="1"/>
  <c r="P193" i="1"/>
  <c r="N192" i="1"/>
  <c r="N191" i="1"/>
  <c r="T190" i="1"/>
  <c r="P188" i="1"/>
  <c r="P186" i="1"/>
  <c r="O184" i="1"/>
  <c r="O182" i="1"/>
  <c r="N181" i="1"/>
  <c r="N180" i="1"/>
  <c r="T173" i="1"/>
  <c r="P171" i="1"/>
  <c r="P169" i="1"/>
  <c r="O167" i="1"/>
  <c r="O165" i="1"/>
  <c r="O161" i="1"/>
  <c r="O159" i="1"/>
  <c r="N163" i="1"/>
  <c r="N157" i="1"/>
  <c r="N155" i="1"/>
  <c r="O153" i="1"/>
  <c r="O151" i="1"/>
  <c r="N150" i="1"/>
  <c r="N149" i="1"/>
  <c r="T148" i="1"/>
  <c r="X129" i="1"/>
  <c r="Q129" i="1"/>
  <c r="P129" i="1"/>
  <c r="O129" i="1"/>
  <c r="N129" i="1"/>
  <c r="P146" i="1"/>
  <c r="P144" i="1"/>
  <c r="N143" i="1"/>
  <c r="N142" i="1"/>
  <c r="P140" i="1"/>
  <c r="N139" i="1"/>
  <c r="N138" i="1"/>
  <c r="P134" i="1"/>
  <c r="N133" i="1"/>
  <c r="N132" i="1"/>
  <c r="P130" i="1"/>
  <c r="N110" i="1"/>
  <c r="N109" i="1"/>
  <c r="P107" i="1"/>
  <c r="N106" i="1"/>
  <c r="N105" i="1"/>
  <c r="P103" i="1"/>
  <c r="N102" i="1"/>
  <c r="N101" i="1"/>
  <c r="P96" i="1"/>
  <c r="N95" i="1"/>
  <c r="N94" i="1"/>
  <c r="N90" i="1"/>
  <c r="P92" i="1"/>
  <c r="N91" i="1"/>
  <c r="P88" i="1"/>
  <c r="P84" i="1"/>
  <c r="N86" i="1"/>
  <c r="N87" i="1"/>
  <c r="N83" i="1"/>
  <c r="N82" i="1"/>
  <c r="P78" i="1"/>
  <c r="N77" i="1"/>
  <c r="N76" i="1"/>
  <c r="P72" i="1"/>
  <c r="P70" i="1"/>
  <c r="N69" i="1"/>
  <c r="N68" i="1"/>
  <c r="P65" i="1"/>
  <c r="P63" i="1"/>
  <c r="N62" i="1"/>
  <c r="N61" i="1"/>
  <c r="P53" i="1"/>
  <c r="P51" i="1"/>
  <c r="N50" i="1"/>
  <c r="N44" i="1"/>
  <c r="N49" i="1"/>
  <c r="N43" i="1"/>
  <c r="P47" i="1"/>
  <c r="P45" i="1"/>
  <c r="S42" i="1"/>
  <c r="T41" i="1"/>
  <c r="P39" i="1"/>
  <c r="P37" i="1"/>
  <c r="N36" i="1"/>
  <c r="N35" i="1"/>
  <c r="N34" i="1"/>
  <c r="T33" i="1"/>
  <c r="S32" i="1"/>
  <c r="P28" i="1"/>
  <c r="P27" i="1"/>
  <c r="N26" i="1"/>
  <c r="N25" i="1"/>
  <c r="O505" i="1" l="1"/>
  <c r="P505" i="1"/>
  <c r="N505" i="1"/>
  <c r="Q23" i="1"/>
  <c r="P23" i="1"/>
  <c r="P111" i="1" s="1"/>
  <c r="N23" i="1"/>
  <c r="N111" i="1" s="1"/>
  <c r="AI337" i="1" l="1"/>
  <c r="AH337" i="1"/>
  <c r="AG337" i="1"/>
  <c r="AF337" i="1"/>
  <c r="AI228" i="1"/>
  <c r="AH228" i="1"/>
  <c r="AG228" i="1"/>
  <c r="AF228" i="1"/>
  <c r="AI117" i="1"/>
  <c r="AH117" i="1"/>
  <c r="AG117" i="1"/>
  <c r="AF117" i="1"/>
  <c r="AI11" i="1"/>
  <c r="AH11" i="1"/>
  <c r="AG11" i="1"/>
  <c r="AF11" i="1"/>
  <c r="V11" i="1"/>
  <c r="K420" i="1"/>
  <c r="AA331" i="1"/>
  <c r="Z331" i="1"/>
  <c r="K331" i="1"/>
  <c r="AA222" i="1"/>
  <c r="Z222" i="1"/>
  <c r="Y222" i="1"/>
  <c r="K222" i="1"/>
  <c r="AA111" i="1"/>
  <c r="D333" i="1" l="1"/>
  <c r="D224" i="1"/>
  <c r="D113" i="1"/>
  <c r="D7" i="1" l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349" i="1"/>
  <c r="Z420" i="1" s="1"/>
  <c r="AA349" i="1"/>
  <c r="AA420" i="1" s="1"/>
  <c r="AF349" i="1"/>
  <c r="AF420" i="1" s="1"/>
  <c r="AG349" i="1"/>
  <c r="AG420" i="1" s="1"/>
  <c r="AH349" i="1"/>
  <c r="AH420" i="1" s="1"/>
  <c r="AI349" i="1"/>
  <c r="AI420" i="1" s="1"/>
  <c r="N331" i="1"/>
  <c r="O331" i="1"/>
  <c r="P331" i="1"/>
  <c r="Q331" i="1"/>
  <c r="R331" i="1"/>
  <c r="S331" i="1"/>
  <c r="T331" i="1"/>
  <c r="U331" i="1"/>
  <c r="V331" i="1"/>
  <c r="W331" i="1"/>
  <c r="X331" i="1"/>
  <c r="Y331" i="1"/>
  <c r="AF240" i="1"/>
  <c r="AF331" i="1" s="1"/>
  <c r="AG240" i="1"/>
  <c r="AG331" i="1" s="1"/>
  <c r="AH240" i="1"/>
  <c r="AH331" i="1" s="1"/>
  <c r="AI240" i="1"/>
  <c r="AI331" i="1" s="1"/>
  <c r="N222" i="1"/>
  <c r="O222" i="1"/>
  <c r="P222" i="1"/>
  <c r="Q222" i="1"/>
  <c r="R222" i="1"/>
  <c r="S222" i="1"/>
  <c r="T222" i="1"/>
  <c r="U222" i="1"/>
  <c r="V222" i="1"/>
  <c r="W222" i="1"/>
  <c r="X222" i="1"/>
  <c r="AF129" i="1"/>
  <c r="AF222" i="1" s="1"/>
  <c r="AG129" i="1"/>
  <c r="AG222" i="1" s="1"/>
  <c r="AH129" i="1"/>
  <c r="AH222" i="1" s="1"/>
  <c r="AI129" i="1"/>
  <c r="AI222" i="1" s="1"/>
  <c r="O23" i="1"/>
  <c r="O111" i="1" s="1"/>
  <c r="Q111" i="1"/>
  <c r="R23" i="1"/>
  <c r="R111" i="1" s="1"/>
  <c r="S111" i="1"/>
  <c r="T111" i="1"/>
  <c r="U111" i="1"/>
  <c r="V23" i="1"/>
  <c r="V111" i="1" s="1"/>
  <c r="W111" i="1"/>
  <c r="X23" i="1"/>
  <c r="X111" i="1" s="1"/>
  <c r="Y23" i="1"/>
  <c r="Y111" i="1" s="1"/>
  <c r="Z111" i="1"/>
  <c r="AF23" i="1"/>
  <c r="AF111" i="1" s="1"/>
  <c r="AG23" i="1"/>
  <c r="AG111" i="1" s="1"/>
  <c r="AH23" i="1"/>
  <c r="AH111" i="1" s="1"/>
  <c r="AI23" i="1"/>
  <c r="AI111" i="1" s="1"/>
  <c r="AI336" i="1" l="1"/>
  <c r="AH336" i="1"/>
  <c r="AG336" i="1"/>
  <c r="AF336" i="1"/>
  <c r="AI227" i="1"/>
  <c r="AH227" i="1"/>
  <c r="AG227" i="1"/>
  <c r="AF227" i="1"/>
  <c r="AI116" i="1"/>
  <c r="AH116" i="1"/>
  <c r="AG116" i="1"/>
  <c r="AF116" i="1"/>
  <c r="V10" i="1" l="1"/>
  <c r="AF10" i="1"/>
  <c r="AG10" i="1"/>
  <c r="AH10" i="1"/>
  <c r="AI10" i="1"/>
</calcChain>
</file>

<file path=xl/sharedStrings.xml><?xml version="1.0" encoding="utf-8"?>
<sst xmlns="http://schemas.openxmlformats.org/spreadsheetml/2006/main" count="4722" uniqueCount="769">
  <si>
    <t>STATION TO STATION</t>
  </si>
  <si>
    <t>TO</t>
  </si>
  <si>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</si>
  <si>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</si>
  <si>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</si>
  <si>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</si>
  <si>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</si>
  <si>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</si>
  <si>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</si>
  <si>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</si>
  <si>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</si>
  <si>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</si>
  <si>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</si>
  <si>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</si>
  <si>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</si>
  <si>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</si>
  <si>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</si>
  <si>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</si>
  <si>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</si>
  <si>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</si>
  <si>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REF
NO.</t>
  </si>
  <si>
    <t>SHEET
NO.</t>
  </si>
  <si>
    <t>&lt;--- ENTER STARTING SHEET NUMBER</t>
  </si>
  <si>
    <t>SIDE</t>
  </si>
  <si>
    <t>RT</t>
  </si>
  <si>
    <t>LT</t>
  </si>
  <si>
    <t>621E00100</t>
  </si>
  <si>
    <t>621E54000</t>
  </si>
  <si>
    <t>630E03100</t>
  </si>
  <si>
    <t>630E80100</t>
  </si>
  <si>
    <t>630E84900</t>
  </si>
  <si>
    <t>630E86002</t>
  </si>
  <si>
    <t>CENTER LINE</t>
  </si>
  <si>
    <t>STATION</t>
  </si>
  <si>
    <t>STATION/SIGN INFO</t>
  </si>
  <si>
    <t>CEN</t>
  </si>
  <si>
    <t>644E00104</t>
  </si>
  <si>
    <t>EDGE LINE, 6" (WHITE)</t>
  </si>
  <si>
    <t>EDGE LINE, 6" (YELLOW)</t>
  </si>
  <si>
    <t>644E00300</t>
  </si>
  <si>
    <t>644E00404</t>
  </si>
  <si>
    <t>CHANNELIZING LINE, 12"</t>
  </si>
  <si>
    <t>644E00500</t>
  </si>
  <si>
    <t>STOP LINE</t>
  </si>
  <si>
    <t>644E00620</t>
  </si>
  <si>
    <t>CROSSWALK LINE, 12"</t>
  </si>
  <si>
    <t>FT</t>
  </si>
  <si>
    <t>644E00700</t>
  </si>
  <si>
    <t>TRANSVERSE/DIAGONAL LINE (YELLOW)</t>
  </si>
  <si>
    <t>644E01000</t>
  </si>
  <si>
    <t>RAILROAD SYMBOL MARKING</t>
  </si>
  <si>
    <t>EACH</t>
  </si>
  <si>
    <t>644E01300</t>
  </si>
  <si>
    <t>644E01370</t>
  </si>
  <si>
    <t>TWO WAY LEFT TURN ARROW</t>
  </si>
  <si>
    <t>644E01520</t>
  </si>
  <si>
    <t>DOTTED LINE, 12"</t>
  </si>
  <si>
    <t>644E20800</t>
  </si>
  <si>
    <t>YIELD LINE</t>
  </si>
  <si>
    <t>LANE ARROW</t>
  </si>
  <si>
    <t>685+34</t>
  </si>
  <si>
    <t>CEN/LT</t>
  </si>
  <si>
    <t>RT/LT</t>
  </si>
  <si>
    <t>644E00720</t>
  </si>
  <si>
    <t>CHEVRON MARKING</t>
  </si>
  <si>
    <t>644E01410</t>
  </si>
  <si>
    <t>WORD ON PAVEMENT, 96"</t>
  </si>
  <si>
    <t>CEN/RT</t>
  </si>
  <si>
    <t>RSE-1</t>
  </si>
  <si>
    <t>RSC-1</t>
  </si>
  <si>
    <t>618E41000</t>
  </si>
  <si>
    <t>618E42000</t>
  </si>
  <si>
    <t>618E43000</t>
  </si>
  <si>
    <t>618E44000</t>
  </si>
  <si>
    <t>RUMBLE STRIPES. EDGE LINE (ASPHALT CONCRETE)</t>
  </si>
  <si>
    <t>RSE-2</t>
  </si>
  <si>
    <t>RSC-2</t>
  </si>
  <si>
    <t>RSEC-2</t>
  </si>
  <si>
    <t>RSEC-1</t>
  </si>
  <si>
    <t>RSE-3</t>
  </si>
  <si>
    <t>RSE-4</t>
  </si>
  <si>
    <t>RSC-4</t>
  </si>
  <si>
    <t>RSC-3</t>
  </si>
  <si>
    <t>RSCC-1</t>
  </si>
  <si>
    <t>RSE-5</t>
  </si>
  <si>
    <t>RSE-6</t>
  </si>
  <si>
    <t>RSC-5</t>
  </si>
  <si>
    <t>LT/CEN</t>
  </si>
  <si>
    <t>RSC-6</t>
  </si>
  <si>
    <t>RSC-7</t>
  </si>
  <si>
    <t>RSE-7</t>
  </si>
  <si>
    <t>RSE-8</t>
  </si>
  <si>
    <t>RSC-8</t>
  </si>
  <si>
    <t>RSC-9</t>
  </si>
  <si>
    <t>RSE-9</t>
  </si>
  <si>
    <t>RSE-10</t>
  </si>
  <si>
    <t>RSC-10</t>
  </si>
  <si>
    <t>RSC-11</t>
  </si>
  <si>
    <t>R1-1-36</t>
  </si>
  <si>
    <t>R4-7b-24</t>
  </si>
  <si>
    <t>W16-7PL-24</t>
  </si>
  <si>
    <t>W11-15-36</t>
  </si>
  <si>
    <t>R3-H8bb-30</t>
  </si>
  <si>
    <t>W3-5-36</t>
  </si>
  <si>
    <t>R3-2-24</t>
  </si>
  <si>
    <t>I-H25a-12</t>
  </si>
  <si>
    <t>W1-4L-36</t>
  </si>
  <si>
    <t>W1-8L-18</t>
  </si>
  <si>
    <t>W1-8R-18</t>
  </si>
  <si>
    <t>R2-1-24</t>
  </si>
  <si>
    <t>W1-8R-19</t>
  </si>
  <si>
    <t>W1-8L-19</t>
  </si>
  <si>
    <t>W1-8R-20</t>
  </si>
  <si>
    <t>W1-8L-20</t>
  </si>
  <si>
    <t>W2-6-36</t>
  </si>
  <si>
    <t>W16-H8P-18</t>
  </si>
  <si>
    <t>W13-1P-18</t>
  </si>
  <si>
    <t>W3-2-36</t>
  </si>
  <si>
    <t>R4-7-24</t>
  </si>
  <si>
    <t>OM1-1-18</t>
  </si>
  <si>
    <t>683+36</t>
  </si>
  <si>
    <t>M3-4-24</t>
  </si>
  <si>
    <t>M1-4-24-2</t>
  </si>
  <si>
    <t>M8-H2-24</t>
  </si>
  <si>
    <t>SPECIAL</t>
  </si>
  <si>
    <t>M6-2-21</t>
  </si>
  <si>
    <t>R6-4a-48</t>
  </si>
  <si>
    <t>R1-2-36</t>
  </si>
  <si>
    <t>D1-H1-72</t>
  </si>
  <si>
    <t>M3-2-24</t>
  </si>
  <si>
    <t>D14-H4-48</t>
  </si>
  <si>
    <t>W16-H8P-36</t>
  </si>
  <si>
    <t>D10-H8-12</t>
  </si>
  <si>
    <t>R4-H3a-24</t>
  </si>
  <si>
    <t>W4-2R-36</t>
  </si>
  <si>
    <t>W1-2L-36</t>
  </si>
  <si>
    <t>W1-2R-36</t>
  </si>
  <si>
    <t>R3-H8bj-36</t>
  </si>
  <si>
    <t>R4-7c-18</t>
  </si>
  <si>
    <t>W10-1-36</t>
  </si>
  <si>
    <t>R3-9cP-30</t>
  </si>
  <si>
    <t>R3-9b-24</t>
  </si>
  <si>
    <t>R3-9dP-30</t>
  </si>
  <si>
    <t>R3-H8bh-36</t>
  </si>
  <si>
    <t>R12-1-24</t>
  </si>
  <si>
    <t>W2-6-37</t>
  </si>
  <si>
    <t>W13-1P-19</t>
  </si>
  <si>
    <t xml:space="preserve"> </t>
  </si>
  <si>
    <t>DYL-100</t>
  </si>
  <si>
    <t>DYL-101</t>
  </si>
  <si>
    <t>DYL-102</t>
  </si>
  <si>
    <t>ELW-100</t>
  </si>
  <si>
    <t>ELW-101</t>
  </si>
  <si>
    <t>CW-100</t>
  </si>
  <si>
    <t>TLY-100</t>
  </si>
  <si>
    <t>ELW-111</t>
  </si>
  <si>
    <t>ELW-112</t>
  </si>
  <si>
    <t>ELW-113</t>
  </si>
  <si>
    <t>DYL-112</t>
  </si>
  <si>
    <t>DYL-113</t>
  </si>
  <si>
    <t>TLY-110</t>
  </si>
  <si>
    <t>CW-110</t>
  </si>
  <si>
    <t>ELW-123</t>
  </si>
  <si>
    <t>ELW-124</t>
  </si>
  <si>
    <t>DYL-123</t>
  </si>
  <si>
    <t>DYL-124</t>
  </si>
  <si>
    <t>ELW-134</t>
  </si>
  <si>
    <t>ELW-135</t>
  </si>
  <si>
    <t>DYL-134</t>
  </si>
  <si>
    <t>DYL-135</t>
  </si>
  <si>
    <t>SL-100</t>
  </si>
  <si>
    <t>LA-100</t>
  </si>
  <si>
    <t>LA-101</t>
  </si>
  <si>
    <t>DYL-145</t>
  </si>
  <si>
    <t>DYL-146</t>
  </si>
  <si>
    <t>ELW-145</t>
  </si>
  <si>
    <t>ELW-146</t>
  </si>
  <si>
    <t>CW-120</t>
  </si>
  <si>
    <t>ELW-156</t>
  </si>
  <si>
    <t>ELW-157</t>
  </si>
  <si>
    <t>DYL-156</t>
  </si>
  <si>
    <t>DYL-157</t>
  </si>
  <si>
    <t>CSD-100</t>
  </si>
  <si>
    <t>ELW-167</t>
  </si>
  <si>
    <t>ELW-168</t>
  </si>
  <si>
    <t>CSD-110</t>
  </si>
  <si>
    <t>CLD-100</t>
  </si>
  <si>
    <t>ELW-178</t>
  </si>
  <si>
    <t>ELW-179</t>
  </si>
  <si>
    <t>CLD-120</t>
  </si>
  <si>
    <t>ELW-189</t>
  </si>
  <si>
    <t>ELW-190</t>
  </si>
  <si>
    <t>CLD-130</t>
  </si>
  <si>
    <t>ELW-200</t>
  </si>
  <si>
    <t>ELW-201</t>
  </si>
  <si>
    <t>CLD-140</t>
  </si>
  <si>
    <t>ELW-211</t>
  </si>
  <si>
    <t>ELW-212</t>
  </si>
  <si>
    <t>CLD-150</t>
  </si>
  <si>
    <t>CSD-120</t>
  </si>
  <si>
    <t>CW-130</t>
  </si>
  <si>
    <t>CSD-130</t>
  </si>
  <si>
    <t>ELW-222</t>
  </si>
  <si>
    <t>ELW-223</t>
  </si>
  <si>
    <t>ELW-233</t>
  </si>
  <si>
    <t>ELW-234</t>
  </si>
  <si>
    <t>CSD-140</t>
  </si>
  <si>
    <t>ELW-244</t>
  </si>
  <si>
    <t>ELW-245</t>
  </si>
  <si>
    <t>CSD-150</t>
  </si>
  <si>
    <t>ELW-255</t>
  </si>
  <si>
    <t>ELW-256</t>
  </si>
  <si>
    <t>CSD-160</t>
  </si>
  <si>
    <t>DYL-167</t>
  </si>
  <si>
    <t>ELW-266</t>
  </si>
  <si>
    <t>ELW-267</t>
  </si>
  <si>
    <t>DYL-177</t>
  </si>
  <si>
    <t>ELW-277</t>
  </si>
  <si>
    <t>ELW-278</t>
  </si>
  <si>
    <t>DYL-187</t>
  </si>
  <si>
    <t>DYL-188</t>
  </si>
  <si>
    <t>TLY-120</t>
  </si>
  <si>
    <t>ELW-288</t>
  </si>
  <si>
    <t>ELW-289</t>
  </si>
  <si>
    <t>ELY-100</t>
  </si>
  <si>
    <t>ELY-101</t>
  </si>
  <si>
    <t>ELW-290</t>
  </si>
  <si>
    <t>ELW-291</t>
  </si>
  <si>
    <t>ELW-292</t>
  </si>
  <si>
    <t>ELY-102</t>
  </si>
  <si>
    <t>ELY-103</t>
  </si>
  <si>
    <t>ELY-104</t>
  </si>
  <si>
    <t>ELY-105</t>
  </si>
  <si>
    <t>DYL-199</t>
  </si>
  <si>
    <t>DYL-198</t>
  </si>
  <si>
    <t>TLY-130</t>
  </si>
  <si>
    <t>YL-100</t>
  </si>
  <si>
    <t>YL-101</t>
  </si>
  <si>
    <t>YL-102</t>
  </si>
  <si>
    <t>ELW-302</t>
  </si>
  <si>
    <t>ELW-303</t>
  </si>
  <si>
    <t>ELY-115</t>
  </si>
  <si>
    <t>ELY-116</t>
  </si>
  <si>
    <t>DYL-209</t>
  </si>
  <si>
    <t>DYL-210</t>
  </si>
  <si>
    <t>TLY-140</t>
  </si>
  <si>
    <t>ELW-313</t>
  </si>
  <si>
    <t>ELW-314</t>
  </si>
  <si>
    <t>DYL-220</t>
  </si>
  <si>
    <t>ELW-324</t>
  </si>
  <si>
    <t>ELW-325</t>
  </si>
  <si>
    <t>DYL-230</t>
  </si>
  <si>
    <t>ELW-335</t>
  </si>
  <si>
    <t>ELW-336</t>
  </si>
  <si>
    <t>DYL-240</t>
  </si>
  <si>
    <t>DYL-241</t>
  </si>
  <si>
    <t>DLW-100</t>
  </si>
  <si>
    <t>DLW-101</t>
  </si>
  <si>
    <t>DLW-102</t>
  </si>
  <si>
    <t>CH-100</t>
  </si>
  <si>
    <t>ELW-346</t>
  </si>
  <si>
    <t>ELW-347</t>
  </si>
  <si>
    <t>ELW-348</t>
  </si>
  <si>
    <t>ELW-349</t>
  </si>
  <si>
    <t>ELW-350</t>
  </si>
  <si>
    <t>ELW-351</t>
  </si>
  <si>
    <t>ELY-126</t>
  </si>
  <si>
    <t>ELY-127</t>
  </si>
  <si>
    <t>DYL-251</t>
  </si>
  <si>
    <t>DYL-252</t>
  </si>
  <si>
    <t>SL-110</t>
  </si>
  <si>
    <t>SL-111</t>
  </si>
  <si>
    <t>CW-131</t>
  </si>
  <si>
    <t>MLA-100</t>
  </si>
  <si>
    <t>MLA-101</t>
  </si>
  <si>
    <t>ELW-361</t>
  </si>
  <si>
    <t>ELW-362</t>
  </si>
  <si>
    <t>ELW-363</t>
  </si>
  <si>
    <t>ELW-364</t>
  </si>
  <si>
    <t>ELW-365</t>
  </si>
  <si>
    <t>ELY-137</t>
  </si>
  <si>
    <t>ELY-138</t>
  </si>
  <si>
    <t>ELY-139</t>
  </si>
  <si>
    <t>ELY-140</t>
  </si>
  <si>
    <t>DYL-262</t>
  </si>
  <si>
    <t>DYL-263</t>
  </si>
  <si>
    <t>CW-141</t>
  </si>
  <si>
    <t>CW-142</t>
  </si>
  <si>
    <t>ELW-375</t>
  </si>
  <si>
    <t>ELW-376</t>
  </si>
  <si>
    <t>DYL-273</t>
  </si>
  <si>
    <t>DYL-274</t>
  </si>
  <si>
    <t>ELW-386</t>
  </si>
  <si>
    <t>ELW-387</t>
  </si>
  <si>
    <t>DYL-284</t>
  </si>
  <si>
    <t>DYL-285</t>
  </si>
  <si>
    <t>ELW-397</t>
  </si>
  <si>
    <t>ELW-398</t>
  </si>
  <si>
    <t>DYL-295</t>
  </si>
  <si>
    <t>ELW-408</t>
  </si>
  <si>
    <t>ELW-409</t>
  </si>
  <si>
    <t>DYL-305</t>
  </si>
  <si>
    <t>ELW-419</t>
  </si>
  <si>
    <t>ELW-420</t>
  </si>
  <si>
    <t>DYL-315</t>
  </si>
  <si>
    <t>DYL-316</t>
  </si>
  <si>
    <t>ELW-430</t>
  </si>
  <si>
    <t>ELW-431</t>
  </si>
  <si>
    <t>ELW-432</t>
  </si>
  <si>
    <t>ELW-433</t>
  </si>
  <si>
    <t>ELW-434</t>
  </si>
  <si>
    <t>ELW-435</t>
  </si>
  <si>
    <t>ELW-436</t>
  </si>
  <si>
    <t>ELY-150</t>
  </si>
  <si>
    <t>ELY-151</t>
  </si>
  <si>
    <t>ELY-152</t>
  </si>
  <si>
    <t>ELY-153</t>
  </si>
  <si>
    <t>ELY-154</t>
  </si>
  <si>
    <t>ELY-155</t>
  </si>
  <si>
    <t>ELY-156</t>
  </si>
  <si>
    <t>ELY-157</t>
  </si>
  <si>
    <t>DYL-326</t>
  </si>
  <si>
    <t>DYL-327</t>
  </si>
  <si>
    <t>DYL-328</t>
  </si>
  <si>
    <t>DYL-329</t>
  </si>
  <si>
    <t>CH-110</t>
  </si>
  <si>
    <t>CH-111</t>
  </si>
  <si>
    <t>CH-112</t>
  </si>
  <si>
    <t>CH-113</t>
  </si>
  <si>
    <t>CH-114</t>
  </si>
  <si>
    <t>CW-152</t>
  </si>
  <si>
    <t>CW-153</t>
  </si>
  <si>
    <t>TYL-161</t>
  </si>
  <si>
    <t>RR-100</t>
  </si>
  <si>
    <t>LA-111</t>
  </si>
  <si>
    <t>LA-112</t>
  </si>
  <si>
    <t>LA-113</t>
  </si>
  <si>
    <t>LA-114</t>
  </si>
  <si>
    <t>LA-115</t>
  </si>
  <si>
    <t>LA-116</t>
  </si>
  <si>
    <t>LA-117</t>
  </si>
  <si>
    <t>LA-118</t>
  </si>
  <si>
    <t>LA-119</t>
  </si>
  <si>
    <t>LA-120</t>
  </si>
  <si>
    <t>LA-121</t>
  </si>
  <si>
    <t>LA-122</t>
  </si>
  <si>
    <t>LA-123</t>
  </si>
  <si>
    <t>LA-124</t>
  </si>
  <si>
    <t>DLW-122</t>
  </si>
  <si>
    <t>DLW-123</t>
  </si>
  <si>
    <t>DLW-124</t>
  </si>
  <si>
    <t>DLW-125</t>
  </si>
  <si>
    <t>DLW-126</t>
  </si>
  <si>
    <t>DLW-127</t>
  </si>
  <si>
    <t>YL-112</t>
  </si>
  <si>
    <t>YL-113</t>
  </si>
  <si>
    <t>YL-114</t>
  </si>
  <si>
    <t>YL-115</t>
  </si>
  <si>
    <t>YL-116</t>
  </si>
  <si>
    <t>YL-117</t>
  </si>
  <si>
    <t>WP-100</t>
  </si>
  <si>
    <t>WP-101</t>
  </si>
  <si>
    <t>ELW-446</t>
  </si>
  <si>
    <t>ELW-447</t>
  </si>
  <si>
    <t>ELY-167</t>
  </si>
  <si>
    <t>ELY-168</t>
  </si>
  <si>
    <t>CSD-170</t>
  </si>
  <si>
    <t>CSD-171</t>
  </si>
  <si>
    <t>CH-124</t>
  </si>
  <si>
    <t>CH-125</t>
  </si>
  <si>
    <t>LA-134</t>
  </si>
  <si>
    <t>LA-135</t>
  </si>
  <si>
    <t>LA-136</t>
  </si>
  <si>
    <t>LA-137</t>
  </si>
  <si>
    <t>LA-138</t>
  </si>
  <si>
    <t>LA-139</t>
  </si>
  <si>
    <t>LA-140</t>
  </si>
  <si>
    <t>LA-141</t>
  </si>
  <si>
    <t>LA-142</t>
  </si>
  <si>
    <t>CM-100</t>
  </si>
  <si>
    <t>CM-101</t>
  </si>
  <si>
    <t>CM-111</t>
  </si>
  <si>
    <t>ELW-457</t>
  </si>
  <si>
    <t>ELW-458</t>
  </si>
  <si>
    <t>CSD-181</t>
  </si>
  <si>
    <t>CSD-182</t>
  </si>
  <si>
    <t>ELW-468</t>
  </si>
  <si>
    <t>ELW-469</t>
  </si>
  <si>
    <t>ELY-178</t>
  </si>
  <si>
    <t>ELY-179</t>
  </si>
  <si>
    <t>DYL-339</t>
  </si>
  <si>
    <t>DYL-340</t>
  </si>
  <si>
    <t>SL-121</t>
  </si>
  <si>
    <t>TLY-171</t>
  </si>
  <si>
    <t>RR-110</t>
  </si>
  <si>
    <t>ELW-478</t>
  </si>
  <si>
    <t>ELW-479</t>
  </si>
  <si>
    <t>DYL-350</t>
  </si>
  <si>
    <t>DYL-351</t>
  </si>
  <si>
    <t>SL-131</t>
  </si>
  <si>
    <t>TLY-181</t>
  </si>
  <si>
    <t>R-100</t>
  </si>
  <si>
    <t>S-100</t>
  </si>
  <si>
    <t>S-102</t>
  </si>
  <si>
    <t>S-101</t>
  </si>
  <si>
    <t>S-112</t>
  </si>
  <si>
    <t>R-110</t>
  </si>
  <si>
    <t>S-113</t>
  </si>
  <si>
    <t>R-111</t>
  </si>
  <si>
    <t>R-112</t>
  </si>
  <si>
    <t>S-114</t>
  </si>
  <si>
    <t>S-115</t>
  </si>
  <si>
    <t>S-125</t>
  </si>
  <si>
    <t>R-122</t>
  </si>
  <si>
    <t>S-135</t>
  </si>
  <si>
    <t>S-136</t>
  </si>
  <si>
    <t>R-132</t>
  </si>
  <si>
    <t>R-133</t>
  </si>
  <si>
    <t>S-146</t>
  </si>
  <si>
    <t>S-147</t>
  </si>
  <si>
    <t>R-143</t>
  </si>
  <si>
    <t>S-157</t>
  </si>
  <si>
    <t>R-153</t>
  </si>
  <si>
    <t>S-167</t>
  </si>
  <si>
    <t>S-168</t>
  </si>
  <si>
    <t>S-169</t>
  </si>
  <si>
    <t>S-170</t>
  </si>
  <si>
    <t>R-163</t>
  </si>
  <si>
    <t>S-180</t>
  </si>
  <si>
    <t>S-181</t>
  </si>
  <si>
    <t>S-182</t>
  </si>
  <si>
    <t>S-183</t>
  </si>
  <si>
    <t>S-184</t>
  </si>
  <si>
    <t>S-194</t>
  </si>
  <si>
    <t>S-195</t>
  </si>
  <si>
    <t>S-196</t>
  </si>
  <si>
    <t>S-197</t>
  </si>
  <si>
    <t>S-207</t>
  </si>
  <si>
    <t>S-208</t>
  </si>
  <si>
    <t>S-209</t>
  </si>
  <si>
    <t>S-210</t>
  </si>
  <si>
    <t>S-220</t>
  </si>
  <si>
    <t>S-221</t>
  </si>
  <si>
    <t>S-222</t>
  </si>
  <si>
    <t>S-223</t>
  </si>
  <si>
    <t>S-224</t>
  </si>
  <si>
    <t>S-225</t>
  </si>
  <si>
    <t>S-235</t>
  </si>
  <si>
    <t>S-236</t>
  </si>
  <si>
    <t>S-237</t>
  </si>
  <si>
    <t>S-238</t>
  </si>
  <si>
    <t>S-239</t>
  </si>
  <si>
    <t>S-240</t>
  </si>
  <si>
    <t>S-241</t>
  </si>
  <si>
    <t>S-242</t>
  </si>
  <si>
    <t>S-243</t>
  </si>
  <si>
    <t>S-244</t>
  </si>
  <si>
    <t>S-245</t>
  </si>
  <si>
    <t>S-246</t>
  </si>
  <si>
    <t>S-247</t>
  </si>
  <si>
    <t>R-173</t>
  </si>
  <si>
    <t>R-174</t>
  </si>
  <si>
    <t>R-175</t>
  </si>
  <si>
    <t>R-176</t>
  </si>
  <si>
    <t>S-257</t>
  </si>
  <si>
    <t>S-258</t>
  </si>
  <si>
    <t>S-259</t>
  </si>
  <si>
    <t>S-260</t>
  </si>
  <si>
    <t>S-261</t>
  </si>
  <si>
    <t>R-186</t>
  </si>
  <si>
    <t>R-187</t>
  </si>
  <si>
    <t>S-271</t>
  </si>
  <si>
    <t>R-197</t>
  </si>
  <si>
    <t>R-198</t>
  </si>
  <si>
    <t>R-199</t>
  </si>
  <si>
    <t>S-281</t>
  </si>
  <si>
    <t>S-282</t>
  </si>
  <si>
    <t>S-283</t>
  </si>
  <si>
    <t>S-293</t>
  </si>
  <si>
    <t>S-294</t>
  </si>
  <si>
    <t>R-209</t>
  </si>
  <si>
    <t>R-210</t>
  </si>
  <si>
    <t>R-220</t>
  </si>
  <si>
    <t>S-295</t>
  </si>
  <si>
    <t>S-296</t>
  </si>
  <si>
    <t>R-230</t>
  </si>
  <si>
    <t>R-231</t>
  </si>
  <si>
    <t>R-232</t>
  </si>
  <si>
    <t>S-306</t>
  </si>
  <si>
    <t>S-307</t>
  </si>
  <si>
    <t>R-242</t>
  </si>
  <si>
    <t>R-243</t>
  </si>
  <si>
    <t>R-244</t>
  </si>
  <si>
    <t>R-245</t>
  </si>
  <si>
    <t>R-246</t>
  </si>
  <si>
    <t>R-247</t>
  </si>
  <si>
    <t>R-248</t>
  </si>
  <si>
    <t>R-249</t>
  </si>
  <si>
    <t>R-250</t>
  </si>
  <si>
    <t>S-317</t>
  </si>
  <si>
    <t>S-318</t>
  </si>
  <si>
    <t>S-319</t>
  </si>
  <si>
    <t>S-320</t>
  </si>
  <si>
    <t>S-321</t>
  </si>
  <si>
    <t>S-322</t>
  </si>
  <si>
    <t>S-332</t>
  </si>
  <si>
    <t>S-333</t>
  </si>
  <si>
    <t>S-334</t>
  </si>
  <si>
    <t>S-335</t>
  </si>
  <si>
    <t>S-336</t>
  </si>
  <si>
    <t>S-337</t>
  </si>
  <si>
    <t>S-338</t>
  </si>
  <si>
    <t>S-339</t>
  </si>
  <si>
    <t>S-340</t>
  </si>
  <si>
    <t>S-341</t>
  </si>
  <si>
    <t>S-342</t>
  </si>
  <si>
    <t>S-343</t>
  </si>
  <si>
    <t>S-344</t>
  </si>
  <si>
    <t>S-345</t>
  </si>
  <si>
    <t>S-346</t>
  </si>
  <si>
    <t>S-347</t>
  </si>
  <si>
    <t>S-348</t>
  </si>
  <si>
    <t>S-349</t>
  </si>
  <si>
    <t>S-350</t>
  </si>
  <si>
    <t>S-351</t>
  </si>
  <si>
    <t>R-260</t>
  </si>
  <si>
    <t>R-261</t>
  </si>
  <si>
    <t>R-262</t>
  </si>
  <si>
    <t>R-263</t>
  </si>
  <si>
    <t>R-264</t>
  </si>
  <si>
    <t>R-265</t>
  </si>
  <si>
    <t>S-361</t>
  </si>
  <si>
    <t>S-362</t>
  </si>
  <si>
    <t>S-363</t>
  </si>
  <si>
    <t>S-364</t>
  </si>
  <si>
    <t>S-365</t>
  </si>
  <si>
    <t>S-366</t>
  </si>
  <si>
    <t>S-367</t>
  </si>
  <si>
    <t>R-275</t>
  </si>
  <si>
    <t>R-276</t>
  </si>
  <si>
    <t>R-277</t>
  </si>
  <si>
    <t>R-287</t>
  </si>
  <si>
    <t>R-288</t>
  </si>
  <si>
    <t>S-377</t>
  </si>
  <si>
    <t>R-298</t>
  </si>
  <si>
    <t>R-299</t>
  </si>
  <si>
    <t>R-300</t>
  </si>
  <si>
    <t>R-301</t>
  </si>
  <si>
    <t>R-302</t>
  </si>
  <si>
    <t>R-303</t>
  </si>
  <si>
    <t>R-304</t>
  </si>
  <si>
    <t>R-305</t>
  </si>
  <si>
    <t>R-306</t>
  </si>
  <si>
    <t>R-307</t>
  </si>
  <si>
    <t>S-378</t>
  </si>
  <si>
    <t>S-379</t>
  </si>
  <si>
    <t>S-380</t>
  </si>
  <si>
    <t>S-381</t>
  </si>
  <si>
    <t>S-382</t>
  </si>
  <si>
    <t>R-317</t>
  </si>
  <si>
    <t>R-318</t>
  </si>
  <si>
    <t>S-392</t>
  </si>
  <si>
    <t>S-393</t>
  </si>
  <si>
    <t>S-394</t>
  </si>
  <si>
    <t>CH-101</t>
  </si>
  <si>
    <t>CH-102</t>
  </si>
  <si>
    <t>S-226</t>
  </si>
  <si>
    <t>S-395</t>
  </si>
  <si>
    <t>CODE</t>
  </si>
  <si>
    <t>RPM-100</t>
  </si>
  <si>
    <t>RPM-101</t>
  </si>
  <si>
    <t>RPM-111</t>
  </si>
  <si>
    <t>RPM-112</t>
  </si>
  <si>
    <t>RPM-122</t>
  </si>
  <si>
    <t>RPM-123</t>
  </si>
  <si>
    <t>RPM-133</t>
  </si>
  <si>
    <t>RPM-134</t>
  </si>
  <si>
    <t>RPM-144</t>
  </si>
  <si>
    <t>RPM-145</t>
  </si>
  <si>
    <t>RPM-155</t>
  </si>
  <si>
    <t>RPM-156</t>
  </si>
  <si>
    <t>RPM-157</t>
  </si>
  <si>
    <t>RPM-167</t>
  </si>
  <si>
    <t>RPM-168</t>
  </si>
  <si>
    <t>RPM-177</t>
  </si>
  <si>
    <t>RPM-187</t>
  </si>
  <si>
    <t>RPM-197</t>
  </si>
  <si>
    <t>RPM-207</t>
  </si>
  <si>
    <t>RPM-208</t>
  </si>
  <si>
    <t>RPM-218</t>
  </si>
  <si>
    <t>RPM-228</t>
  </si>
  <si>
    <t>RPM-238</t>
  </si>
  <si>
    <t>RPM-248</t>
  </si>
  <si>
    <t>RPM-249</t>
  </si>
  <si>
    <t>RPM-259</t>
  </si>
  <si>
    <t>RPM-269</t>
  </si>
  <si>
    <t>RPM-270</t>
  </si>
  <si>
    <t>RPM-280</t>
  </si>
  <si>
    <t>RPM-281</t>
  </si>
  <si>
    <t>RPM-282</t>
  </si>
  <si>
    <t>RPM-283</t>
  </si>
  <si>
    <t>RPM-284</t>
  </si>
  <si>
    <t>RPM-285</t>
  </si>
  <si>
    <t>RPM-286</t>
  </si>
  <si>
    <t>RPM-287</t>
  </si>
  <si>
    <t>RPM-288</t>
  </si>
  <si>
    <t>RPM-289</t>
  </si>
  <si>
    <t>RPM-290</t>
  </si>
  <si>
    <t>RPM-300</t>
  </si>
  <si>
    <t>RPM-301</t>
  </si>
  <si>
    <t>RPM-302</t>
  </si>
  <si>
    <t>RPM-303</t>
  </si>
  <si>
    <t>RPM-313</t>
  </si>
  <si>
    <t>DLW-103</t>
  </si>
  <si>
    <t>RPM-323</t>
  </si>
  <si>
    <t>RPM-324</t>
  </si>
  <si>
    <t>RPM-325</t>
  </si>
  <si>
    <t>RPM-326</t>
  </si>
  <si>
    <t>RPM-336</t>
  </si>
  <si>
    <t>RPM-337</t>
  </si>
  <si>
    <t>CH-105</t>
  </si>
  <si>
    <t>RPM-338</t>
  </si>
  <si>
    <t>RPM-348</t>
  </si>
  <si>
    <t>RPM-349</t>
  </si>
  <si>
    <t>RPM-359</t>
  </si>
  <si>
    <t>RPM-360</t>
  </si>
  <si>
    <t>RPM-370</t>
  </si>
  <si>
    <t>RPM-371</t>
  </si>
  <si>
    <t>RPM-381</t>
  </si>
  <si>
    <t>RPM-391</t>
  </si>
  <si>
    <t>RPM-401</t>
  </si>
  <si>
    <t>RPM-402</t>
  </si>
  <si>
    <t>RPM-412</t>
  </si>
  <si>
    <t>RPM-413</t>
  </si>
  <si>
    <t>RPM-414</t>
  </si>
  <si>
    <t>RPM-415</t>
  </si>
  <si>
    <t>RPM-416</t>
  </si>
  <si>
    <t>RPM-417</t>
  </si>
  <si>
    <t>RPM-419</t>
  </si>
  <si>
    <t>RPM-420</t>
  </si>
  <si>
    <t>RPM-421</t>
  </si>
  <si>
    <t>RPM-422</t>
  </si>
  <si>
    <t>RPM-423</t>
  </si>
  <si>
    <t>RPM-424</t>
  </si>
  <si>
    <t>DYL-425</t>
  </si>
  <si>
    <t>RPM-426</t>
  </si>
  <si>
    <t>RPM-427</t>
  </si>
  <si>
    <t>RPM-428</t>
  </si>
  <si>
    <t>RPM-429</t>
  </si>
  <si>
    <t>RPM-430</t>
  </si>
  <si>
    <t>RPM-431</t>
  </si>
  <si>
    <t>RPM-432</t>
  </si>
  <si>
    <t>RPM-433</t>
  </si>
  <si>
    <t>RPM-434</t>
  </si>
  <si>
    <t>RPM-435</t>
  </si>
  <si>
    <t>RPM-445</t>
  </si>
  <si>
    <t>RPM-446</t>
  </si>
  <si>
    <t>RPM-447</t>
  </si>
  <si>
    <t>RPM-448</t>
  </si>
  <si>
    <t>RPM-449</t>
  </si>
  <si>
    <t>RPM-450</t>
  </si>
  <si>
    <t>RPM-460</t>
  </si>
  <si>
    <t>RPM-461</t>
  </si>
  <si>
    <t>RPM-473</t>
  </si>
  <si>
    <t>RPM-474</t>
  </si>
  <si>
    <t>RPM-471</t>
  </si>
  <si>
    <t>RPM-472</t>
  </si>
  <si>
    <t>RPM-484</t>
  </si>
  <si>
    <t>RPM-485</t>
  </si>
  <si>
    <t>M1-4-24-1</t>
  </si>
  <si>
    <t>RUMBLE STRIPES, CENTER LINE (CONCRETE)</t>
  </si>
  <si>
    <t>RUMBLE STRIPES, CENTER LINE (ASPHALT CONCRETE)</t>
  </si>
  <si>
    <t>RUMBLE STRIPES, EDGE LINE (CONCRETE)</t>
  </si>
  <si>
    <t>MILE</t>
  </si>
  <si>
    <t>CW-115</t>
  </si>
  <si>
    <t>618</t>
  </si>
  <si>
    <t>SL-122</t>
  </si>
  <si>
    <t>S-248</t>
  </si>
  <si>
    <t>W16-7PR-24</t>
  </si>
  <si>
    <t>W11-15-30</t>
  </si>
  <si>
    <t>R10-25-9</t>
  </si>
  <si>
    <t>S-249</t>
  </si>
  <si>
    <t>630E79500</t>
  </si>
  <si>
    <t>PAVEMENT MARKING ESTIMATED QUANTITIES</t>
  </si>
  <si>
    <t>R-190</t>
  </si>
  <si>
    <t>CW-135</t>
  </si>
  <si>
    <t>CW-136</t>
  </si>
  <si>
    <t>620E00500</t>
  </si>
  <si>
    <t>874E21000</t>
  </si>
  <si>
    <t>LONGITUDINAL JOINT PREPARATION</t>
  </si>
  <si>
    <t>SIGNING MISC.:SOLAR-POWERED RECTANGULAR RAPID FLASHING BEACON (RRFB) SIGN ASSEMBLY</t>
  </si>
  <si>
    <t>PEDESTAL FOUNDATION</t>
  </si>
  <si>
    <t>EDGE LINE, 6", TYPE 1</t>
  </si>
  <si>
    <t>642E00104</t>
  </si>
  <si>
    <t>642E00300</t>
  </si>
  <si>
    <t>CENTER LINE, TYPE 1</t>
  </si>
  <si>
    <t>SIGNING ESTIMATED QUANTITIES</t>
  </si>
  <si>
    <t>DELINEATOR, MISC.: HIGH INTENSITY RETRO-REFLEC-
TIVE ISLAND SURFACE MOUNTED BULLNOSE MARKER</t>
  </si>
  <si>
    <t>R6-1R-36</t>
  </si>
  <si>
    <t>GRAND TOTALS</t>
  </si>
  <si>
    <t>TOTALS CARRIED TO GENERAL SUMMARY</t>
  </si>
  <si>
    <t>SUBTOTAL FOR PARTICIPATION 01/SAF</t>
  </si>
  <si>
    <t>SUBTOTAL FOR PARTICIPATION 04/ENH</t>
  </si>
  <si>
    <t>SUBTOTAL FOR PARTICIPATION 06/BRO</t>
  </si>
  <si>
    <t>PART.</t>
  </si>
  <si>
    <t>644e50300</t>
  </si>
  <si>
    <t>PAVEMENT MARKING, MISC.: CROSSWALK LINE, 18"</t>
  </si>
  <si>
    <t>646E10010</t>
  </si>
  <si>
    <t>EDGE LINE, 6"</t>
  </si>
  <si>
    <t>646E10200</t>
  </si>
  <si>
    <t>SIGN POST REFLECTOR</t>
  </si>
  <si>
    <t>P.0876</t>
  </si>
  <si>
    <t>P.0877</t>
  </si>
  <si>
    <t>P.0878</t>
  </si>
  <si>
    <t>P.0879</t>
  </si>
  <si>
    <t>P.0880</t>
  </si>
  <si>
    <t>P.0881</t>
  </si>
  <si>
    <t>P.0882</t>
  </si>
  <si>
    <t>P.0883</t>
  </si>
  <si>
    <t>P.0889</t>
  </si>
  <si>
    <t>P.0890</t>
  </si>
  <si>
    <t>P.0891</t>
  </si>
  <si>
    <t>P.0892</t>
  </si>
  <si>
    <t>P.0893</t>
  </si>
  <si>
    <t>P.0902</t>
  </si>
  <si>
    <t>P.0903</t>
  </si>
  <si>
    <t>P.0904</t>
  </si>
  <si>
    <t>P.0905</t>
  </si>
  <si>
    <t>P.0906</t>
  </si>
  <si>
    <t>P.0907</t>
  </si>
  <si>
    <t>P.0908</t>
  </si>
  <si>
    <t>P.0909</t>
  </si>
  <si>
    <t>P.0910</t>
  </si>
  <si>
    <t>P.0911</t>
  </si>
  <si>
    <t>P.0912</t>
  </si>
  <si>
    <t>P.0913</t>
  </si>
  <si>
    <t>P.0914</t>
  </si>
  <si>
    <t>P.0915</t>
  </si>
  <si>
    <t>P.0916</t>
  </si>
  <si>
    <t>P.0917</t>
  </si>
  <si>
    <t>P.0918</t>
  </si>
  <si>
    <t>P.0919</t>
  </si>
  <si>
    <t>P.0920</t>
  </si>
  <si>
    <t>P.0921</t>
  </si>
  <si>
    <t>P.0922</t>
  </si>
  <si>
    <t>P.0923</t>
  </si>
  <si>
    <t>P.0924</t>
  </si>
  <si>
    <t>P.0925</t>
  </si>
  <si>
    <t>P.0926</t>
  </si>
  <si>
    <t>P.0927</t>
  </si>
  <si>
    <t>P.0928</t>
  </si>
  <si>
    <t>P.0929</t>
  </si>
  <si>
    <t>P.0930</t>
  </si>
  <si>
    <t>P.0931</t>
  </si>
  <si>
    <t>P.0932</t>
  </si>
  <si>
    <t>P.0933</t>
  </si>
  <si>
    <t>P.0934</t>
  </si>
  <si>
    <t>P.0902-P.0914</t>
  </si>
  <si>
    <t>P.0914-P.0919</t>
  </si>
  <si>
    <t>P.0920-P.0928</t>
  </si>
  <si>
    <t>P.0929-P.0931</t>
  </si>
  <si>
    <t>P.0932-P.0933</t>
  </si>
  <si>
    <t>P.0918-P.0919</t>
  </si>
  <si>
    <t>P.0923-P.0927</t>
  </si>
  <si>
    <t>P.0930-P.0931</t>
  </si>
  <si>
    <t>P.0935</t>
  </si>
  <si>
    <t>TOTALS CARRIED TO SUBSUMMARY</t>
  </si>
  <si>
    <t xml:space="preserve">TOTALS CARRIED TO SUBSUMMARY  </t>
  </si>
  <si>
    <t>SIGNING MISC.: 12" PVC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</si>
</sst>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#\ ???/???"/>
    <numFmt numFmtId="165" formatCode="0&quot;+&quot;00.00"/>
    <numFmt numFmtId="166" formatCode="0\)"/>
    <numFmt numFmtId="167" formatCode="&quot;SUBSUMMARY SHEET &quot;#"/>
    <numFmt numFmtId="168" formatCode="0&quot;+&quot;00"/>
    <numFmt numFmtId="169" formatCode="0.0"/>
    <numFmt numFmtId="170" formatCode="###\+##"/>
    <numFmt numFmtId="171" formatCode="0.000"/>
    <numFmt numFmtId="172" formatCode="00"/>
    <numFmt numFmtId="173" formatCode="000&quot;+&quot;00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0"/>
      <name val="Arial"/>
    </font>
    <font>
      <sz val="8"/>
      <name val="Arial"/>
    </font>
    <font>
      <b/>
      <sz val="10"/>
      <name val="Verdana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sz val="10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i/>
      <u/>
      <sz val="10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</cellStyleXfs>
  <cellXfs count="435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>
      <alignment horizontal="center" vertical="center"/>
    </xf>
    <xf numFmtId="11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24" xfId="0" applyFont="1" applyBorder="1" applyAlignment="1">
      <alignment vertical="center"/>
    </xf>
    <xf numFmtId="0" fontId="4" fillId="5" borderId="28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0" fontId="4" fillId="5" borderId="24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69" fontId="4" fillId="0" borderId="3" xfId="0" applyNumberFormat="1" applyFont="1" applyBorder="1" applyAlignment="1">
      <alignment horizontal="center" vertical="center"/>
    </xf>
    <xf numFmtId="171" fontId="4" fillId="0" borderId="3" xfId="0" applyNumberFormat="1" applyFont="1" applyBorder="1" applyAlignment="1" applyProtection="1">
      <alignment horizontal="center" vertical="center"/>
      <protection locked="0"/>
    </xf>
    <xf numFmtId="171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2" fontId="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171" fontId="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171" fontId="4" fillId="0" borderId="12" xfId="0" applyNumberFormat="1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8" fontId="4" fillId="0" borderId="7" xfId="0" applyNumberFormat="1" applyFont="1" applyBorder="1" applyAlignment="1" applyProtection="1">
      <alignment horizontal="center" vertical="center"/>
      <protection locked="0"/>
    </xf>
    <xf numFmtId="168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8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6" borderId="0" xfId="0" applyFont="1" applyFill="1" applyAlignment="1">
      <alignment vertical="center"/>
    </xf>
    <xf numFmtId="0" fontId="4" fillId="6" borderId="26" xfId="0" applyFont="1" applyFill="1" applyBorder="1" applyAlignment="1" applyProtection="1">
      <alignment vertical="center"/>
      <protection locked="0"/>
    </xf>
    <xf numFmtId="0" fontId="4" fillId="6" borderId="33" xfId="0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7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5" borderId="47" xfId="0" applyFont="1" applyFill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11" fontId="4" fillId="0" borderId="0" xfId="0" applyNumberFormat="1" applyFont="1" applyAlignment="1" applyProtection="1">
      <alignment horizontal="center" vertical="center" shrinkToFit="1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171" fontId="4" fillId="0" borderId="0" xfId="0" applyNumberFormat="1" applyFont="1" applyAlignment="1" applyProtection="1">
      <alignment horizontal="center" vertical="center"/>
      <protection locked="0"/>
    </xf>
    <xf numFmtId="2" fontId="4" fillId="0" borderId="0" xfId="0" applyNumberFormat="1" applyFont="1" applyAlignment="1">
      <alignment horizontal="center" vertical="center"/>
    </xf>
    <xf numFmtId="11" fontId="4" fillId="3" borderId="0" xfId="0" applyNumberFormat="1" applyFont="1" applyFill="1" applyAlignment="1" applyProtection="1">
      <alignment horizontal="center" vertical="center" shrinkToFit="1"/>
      <protection locked="0"/>
    </xf>
    <xf numFmtId="1" fontId="4" fillId="0" borderId="3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50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169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69" fontId="10" fillId="0" borderId="12" xfId="0" applyNumberFormat="1" applyFont="1" applyBorder="1" applyAlignment="1" applyProtection="1">
      <alignment horizontal="center" vertical="center"/>
      <protection locked="0"/>
    </xf>
    <xf numFmtId="2" fontId="10" fillId="0" borderId="12" xfId="0" applyNumberFormat="1" applyFont="1" applyBorder="1" applyAlignment="1" applyProtection="1">
      <alignment horizontal="center" vertical="center"/>
      <protection locked="0"/>
    </xf>
    <xf numFmtId="2" fontId="10" fillId="0" borderId="16" xfId="0" applyNumberFormat="1" applyFont="1" applyBorder="1" applyAlignment="1" applyProtection="1">
      <alignment horizontal="center" vertical="center"/>
      <protection locked="0"/>
    </xf>
    <xf numFmtId="2" fontId="10" fillId="0" borderId="58" xfId="0" applyNumberFormat="1" applyFont="1" applyBorder="1" applyAlignment="1" applyProtection="1">
      <alignment horizontal="center" vertical="center"/>
      <protection locked="0"/>
    </xf>
    <xf numFmtId="1" fontId="10" fillId="0" borderId="41" xfId="0" applyNumberFormat="1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1" fontId="10" fillId="0" borderId="52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2" fontId="10" fillId="0" borderId="2" xfId="0" applyNumberFormat="1" applyFont="1" applyBorder="1" applyAlignment="1" applyProtection="1">
      <alignment horizontal="center" vertical="center"/>
      <protection locked="0"/>
    </xf>
    <xf numFmtId="169" fontId="10" fillId="0" borderId="2" xfId="0" applyNumberFormat="1" applyFont="1" applyBorder="1" applyAlignment="1" applyProtection="1">
      <alignment horizontal="center" vertical="center"/>
      <protection locked="0"/>
    </xf>
    <xf numFmtId="2" fontId="10" fillId="0" borderId="60" xfId="0" applyNumberFormat="1" applyFont="1" applyBorder="1" applyAlignment="1" applyProtection="1">
      <alignment horizontal="center" vertical="center"/>
      <protection locked="0"/>
    </xf>
    <xf numFmtId="1" fontId="10" fillId="0" borderId="63" xfId="0" applyNumberFormat="1" applyFont="1" applyBorder="1" applyAlignment="1" applyProtection="1">
      <alignment horizontal="center" vertical="center"/>
      <protection locked="0"/>
    </xf>
    <xf numFmtId="1" fontId="10" fillId="0" borderId="55" xfId="0" applyNumberFormat="1" applyFont="1" applyBorder="1" applyAlignment="1" applyProtection="1">
      <alignment horizontal="center" vertical="center"/>
      <protection locked="0"/>
    </xf>
    <xf numFmtId="2" fontId="10" fillId="0" borderId="55" xfId="0" applyNumberFormat="1" applyFont="1" applyBorder="1" applyAlignment="1" applyProtection="1">
      <alignment horizontal="center" vertical="center"/>
      <protection locked="0"/>
    </xf>
    <xf numFmtId="169" fontId="10" fillId="0" borderId="55" xfId="0" applyNumberFormat="1" applyFont="1" applyBorder="1" applyAlignment="1" applyProtection="1">
      <alignment horizontal="center" vertical="center"/>
      <protection locked="0"/>
    </xf>
    <xf numFmtId="2" fontId="10" fillId="0" borderId="61" xfId="0" applyNumberFormat="1" applyFont="1" applyBorder="1" applyAlignment="1" applyProtection="1">
      <alignment horizontal="center" vertical="center"/>
      <protection locked="0"/>
    </xf>
    <xf numFmtId="2" fontId="10" fillId="0" borderId="56" xfId="0" applyNumberFormat="1" applyFont="1" applyBorder="1" applyAlignment="1" applyProtection="1">
      <alignment horizontal="center" vertical="center"/>
      <protection locked="0"/>
    </xf>
    <xf numFmtId="2" fontId="10" fillId="0" borderId="57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17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7" xfId="0" applyNumberFormat="1" applyFont="1" applyBorder="1" applyAlignment="1" applyProtection="1">
      <alignment horizontal="center" vertical="center"/>
      <protection locked="0"/>
    </xf>
    <xf numFmtId="168" fontId="10" fillId="0" borderId="8" xfId="0" applyNumberFormat="1" applyFont="1" applyBorder="1" applyAlignment="1" applyProtection="1">
      <alignment horizontal="center" vertical="center"/>
      <protection locked="0"/>
    </xf>
    <xf numFmtId="2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68" fontId="10" fillId="0" borderId="48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168" fontId="10" fillId="0" borderId="16" xfId="0" applyNumberFormat="1" applyFont="1" applyBorder="1" applyAlignment="1" applyProtection="1">
      <alignment horizontal="center" vertical="center"/>
      <protection locked="0"/>
    </xf>
    <xf numFmtId="2" fontId="10" fillId="0" borderId="39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165" fontId="10" fillId="0" borderId="48" xfId="0" applyNumberFormat="1" applyFont="1" applyBorder="1" applyAlignment="1" applyProtection="1">
      <alignment horizontal="center" vertical="center"/>
      <protection locked="0"/>
    </xf>
    <xf numFmtId="168" fontId="10" fillId="0" borderId="38" xfId="0" applyNumberFormat="1" applyFont="1" applyBorder="1" applyAlignment="1" applyProtection="1">
      <alignment horizontal="center" vertical="center"/>
      <protection locked="0"/>
    </xf>
    <xf numFmtId="165" fontId="10" fillId="0" borderId="53" xfId="0" applyNumberFormat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165" fontId="10" fillId="0" borderId="8" xfId="0" applyNumberFormat="1" applyFont="1" applyBorder="1" applyAlignment="1" applyProtection="1">
      <alignment horizontal="center" vertical="center"/>
      <protection locked="0"/>
    </xf>
    <xf numFmtId="165" fontId="10" fillId="0" borderId="38" xfId="0" applyNumberFormat="1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10" fillId="0" borderId="3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1" fontId="10" fillId="0" borderId="5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17" fillId="2" borderId="0" xfId="1" applyFont="1" applyFill="1" applyAlignment="1" applyProtection="1">
      <alignment vertical="center"/>
    </xf>
    <xf numFmtId="0" fontId="10" fillId="2" borderId="0" xfId="0" applyFont="1" applyFill="1" applyAlignment="1">
      <alignment vertical="center"/>
    </xf>
    <xf numFmtId="166" fontId="15" fillId="2" borderId="0" xfId="0" applyNumberFormat="1" applyFont="1" applyFill="1" applyAlignment="1">
      <alignment horizontal="center" vertical="center"/>
    </xf>
    <xf numFmtId="0" fontId="15" fillId="2" borderId="0" xfId="1" applyFont="1" applyFill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4" borderId="0" xfId="0" applyFon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11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171" fontId="10" fillId="0" borderId="3" xfId="0" applyNumberFormat="1" applyFont="1" applyBorder="1" applyAlignment="1" applyProtection="1">
      <alignment horizontal="center" vertical="center"/>
      <protection locked="0"/>
    </xf>
    <xf numFmtId="170" fontId="10" fillId="0" borderId="7" xfId="2" applyNumberFormat="1" applyFont="1" applyBorder="1" applyAlignment="1" applyProtection="1">
      <alignment horizontal="center" vertical="center"/>
      <protection locked="0"/>
    </xf>
    <xf numFmtId="170" fontId="10" fillId="0" borderId="7" xfId="2" applyNumberFormat="1" applyFont="1" applyFill="1" applyBorder="1" applyAlignment="1" applyProtection="1">
      <alignment horizontal="center" vertical="center"/>
      <protection locked="0"/>
    </xf>
    <xf numFmtId="170" fontId="10" fillId="0" borderId="7" xfId="2" applyNumberFormat="1" applyFont="1" applyBorder="1" applyAlignment="1" applyProtection="1">
      <alignment horizontal="center" vertical="center" wrapText="1"/>
      <protection locked="0"/>
    </xf>
    <xf numFmtId="168" fontId="10" fillId="0" borderId="53" xfId="0" applyNumberFormat="1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167" fontId="11" fillId="4" borderId="0" xfId="0" applyNumberFormat="1" applyFont="1" applyFill="1" applyAlignment="1">
      <alignment horizontal="center" vertical="center"/>
    </xf>
    <xf numFmtId="168" fontId="10" fillId="0" borderId="7" xfId="2" applyNumberFormat="1" applyFont="1" applyBorder="1" applyAlignment="1" applyProtection="1">
      <alignment horizontal="center" vertical="center"/>
      <protection locked="0"/>
    </xf>
    <xf numFmtId="171" fontId="10" fillId="0" borderId="12" xfId="0" applyNumberFormat="1" applyFont="1" applyBorder="1" applyAlignment="1" applyProtection="1">
      <alignment horizontal="center" vertical="center"/>
      <protection locked="0"/>
    </xf>
    <xf numFmtId="168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168" fontId="10" fillId="0" borderId="7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/>
      <protection locked="0"/>
    </xf>
    <xf numFmtId="168" fontId="10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1" xfId="0" quotePrefix="1" applyFont="1" applyBorder="1" applyAlignment="1" applyProtection="1">
      <alignment horizontal="center" vertical="center"/>
      <protection locked="0"/>
    </xf>
    <xf numFmtId="173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0" fillId="3" borderId="19" xfId="0" applyNumberFormat="1" applyFont="1" applyFill="1" applyBorder="1" applyAlignment="1" applyProtection="1">
      <alignment horizontal="center" vertical="center"/>
      <protection locked="0"/>
    </xf>
    <xf numFmtId="11" fontId="10" fillId="3" borderId="38" xfId="0" applyNumberFormat="1" applyFont="1" applyFill="1" applyBorder="1" applyAlignment="1" applyProtection="1">
      <alignment horizontal="center" vertical="center" shrinkToFit="1"/>
      <protection locked="0"/>
    </xf>
    <xf numFmtId="172" fontId="10" fillId="0" borderId="32" xfId="0" applyNumberFormat="1" applyFont="1" applyBorder="1" applyAlignment="1" applyProtection="1">
      <alignment horizontal="center" vertical="center"/>
      <protection locked="0"/>
    </xf>
    <xf numFmtId="172" fontId="10" fillId="0" borderId="33" xfId="0" applyNumberFormat="1" applyFont="1" applyBorder="1" applyAlignment="1" applyProtection="1">
      <alignment horizontal="center" vertical="center"/>
      <protection locked="0"/>
    </xf>
    <xf numFmtId="172" fontId="10" fillId="0" borderId="6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172" fontId="10" fillId="0" borderId="54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vertical="center"/>
    </xf>
    <xf numFmtId="166" fontId="2" fillId="2" borderId="19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3" borderId="19" xfId="0" applyNumberFormat="1" applyFont="1" applyFill="1" applyBorder="1" applyAlignment="1" applyProtection="1">
      <alignment horizontal="center" vertical="center"/>
      <protection locked="0"/>
    </xf>
    <xf numFmtId="11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left" vertical="center"/>
    </xf>
    <xf numFmtId="11" fontId="4" fillId="3" borderId="38" xfId="0" applyNumberFormat="1" applyFont="1" applyFill="1" applyBorder="1" applyAlignment="1" applyProtection="1">
      <alignment horizontal="center" vertical="center" shrinkToFit="1"/>
      <protection locked="0"/>
    </xf>
    <xf numFmtId="165" fontId="10" fillId="0" borderId="64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72" fontId="10" fillId="0" borderId="59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6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vertical="center"/>
    </xf>
    <xf numFmtId="166" fontId="2" fillId="2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165" fontId="10" fillId="0" borderId="39" xfId="0" applyNumberFormat="1" applyFont="1" applyBorder="1" applyAlignment="1" applyProtection="1">
      <alignment horizontal="center" vertical="center"/>
      <protection locked="0"/>
    </xf>
    <xf numFmtId="165" fontId="10" fillId="0" borderId="49" xfId="0" applyNumberFormat="1" applyFont="1" applyBorder="1" applyAlignment="1" applyProtection="1">
      <alignment horizontal="center" vertical="center"/>
      <protection locked="0"/>
    </xf>
    <xf numFmtId="168" fontId="10" fillId="0" borderId="49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38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10" fillId="0" borderId="30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39" xfId="0" applyFont="1" applyBorder="1" applyAlignment="1">
      <alignment horizontal="center" vertical="center" textRotation="90" wrapText="1"/>
    </xf>
    <xf numFmtId="164" fontId="10" fillId="0" borderId="12" xfId="0" applyNumberFormat="1" applyFont="1" applyBorder="1" applyAlignment="1">
      <alignment horizontal="center" vertical="center" textRotation="90" wrapText="1"/>
    </xf>
    <xf numFmtId="164" fontId="10" fillId="0" borderId="13" xfId="0" applyNumberFormat="1" applyFont="1" applyBorder="1" applyAlignment="1">
      <alignment horizontal="center" vertical="center" textRotation="90" wrapText="1"/>
    </xf>
    <xf numFmtId="164" fontId="10" fillId="0" borderId="14" xfId="0" applyNumberFormat="1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textRotation="90"/>
    </xf>
    <xf numFmtId="0" fontId="9" fillId="0" borderId="59" xfId="0" applyFont="1" applyBorder="1" applyAlignment="1">
      <alignment horizontal="center" vertical="center" textRotation="90"/>
    </xf>
    <xf numFmtId="0" fontId="9" fillId="0" borderId="65" xfId="0" applyFont="1" applyBorder="1" applyAlignment="1">
      <alignment horizontal="center" vertical="center" textRotation="90"/>
    </xf>
    <xf numFmtId="167" fontId="11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10" fillId="3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1" fillId="4" borderId="0" xfId="0" applyFont="1" applyFill="1" applyAlignment="1">
      <alignment horizontal="center" vertical="center"/>
    </xf>
    <xf numFmtId="168" fontId="10" fillId="0" borderId="7" xfId="0" applyNumberFormat="1" applyFont="1" applyBorder="1" applyAlignment="1" applyProtection="1">
      <alignment horizontal="center" vertical="center"/>
      <protection locked="0"/>
    </xf>
    <xf numFmtId="168" fontId="10" fillId="0" borderId="8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165" fontId="10" fillId="0" borderId="48" xfId="0" applyNumberFormat="1" applyFont="1" applyBorder="1" applyAlignment="1" applyProtection="1">
      <alignment horizontal="center" vertical="center"/>
      <protection locked="0"/>
    </xf>
    <xf numFmtId="165" fontId="10" fillId="0" borderId="8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167" fontId="3" fillId="4" borderId="0" xfId="0" applyNumberFormat="1" applyFont="1" applyFill="1" applyAlignment="1">
      <alignment horizontal="center" vertical="center"/>
    </xf>
    <xf numFmtId="165" fontId="10" fillId="0" borderId="53" xfId="0" applyNumberFormat="1" applyFont="1" applyBorder="1" applyAlignment="1" applyProtection="1">
      <alignment horizontal="center" vertical="center"/>
      <protection locked="0"/>
    </xf>
    <xf numFmtId="165" fontId="10" fillId="0" borderId="49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0" xfId="0" applyFont="1" applyFill="1" applyBorder="1" applyAlignment="1">
      <alignment vertical="center"/>
    </xf>
    <xf numFmtId="164" fontId="10" fillId="0" borderId="8" xfId="0" applyNumberFormat="1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8" fontId="10" fillId="0" borderId="9" xfId="0" applyNumberFormat="1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168" fontId="10" fillId="0" borderId="38" xfId="0" applyNumberFormat="1" applyFont="1" applyBorder="1" applyAlignment="1" applyProtection="1">
      <alignment horizontal="center" vertical="center"/>
      <protection locked="0"/>
    </xf>
    <xf numFmtId="168" fontId="10" fillId="0" borderId="39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6" xfId="0" applyNumberFormat="1" applyFont="1" applyBorder="1" applyAlignment="1" applyProtection="1">
      <alignment horizontal="center" vertical="center"/>
      <protection locked="0"/>
    </xf>
    <xf numFmtId="168" fontId="10" fillId="0" borderId="30" xfId="0" applyNumberFormat="1" applyFont="1" applyBorder="1" applyAlignment="1" applyProtection="1">
      <alignment horizontal="center" vertical="center"/>
      <protection locked="0"/>
    </xf>
    <xf numFmtId="165" fontId="10" fillId="0" borderId="4" xfId="0" applyNumberFormat="1" applyFont="1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1" xfId="0" applyNumberFormat="1" applyFont="1" applyBorder="1" applyAlignment="1" applyProtection="1">
      <alignment horizontal="center" vertical="center"/>
      <protection locked="0"/>
    </xf>
    <xf numFmtId="165" fontId="10" fillId="0" borderId="9" xfId="0" applyNumberFormat="1" applyFont="1" applyBorder="1" applyAlignment="1" applyProtection="1">
      <alignment horizontal="center" vertical="center"/>
      <protection locked="0"/>
    </xf>
    <xf numFmtId="165" fontId="10" fillId="0" borderId="33" xfId="0" applyNumberFormat="1" applyFont="1" applyBorder="1" applyAlignment="1" applyProtection="1">
      <alignment horizontal="center" vertical="center"/>
      <protection locked="0"/>
    </xf>
    <xf numFmtId="168" fontId="4" fillId="0" borderId="7" xfId="0" applyNumberFormat="1" applyFont="1" applyBorder="1" applyAlignment="1" applyProtection="1">
      <alignment horizontal="center" vertical="center"/>
      <protection locked="0"/>
    </xf>
    <xf numFmtId="168" fontId="4" fillId="0" borderId="9" xfId="0" applyNumberFormat="1" applyFont="1" applyBorder="1" applyAlignment="1" applyProtection="1">
      <alignment horizontal="center" vertical="center"/>
      <protection locked="0"/>
    </xf>
    <xf numFmtId="168" fontId="4" fillId="0" borderId="8" xfId="0" applyNumberFormat="1" applyFont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 applyProtection="1">
      <alignment horizontal="center" vertical="center"/>
      <protection locked="0"/>
    </xf>
    <xf numFmtId="168" fontId="4" fillId="0" borderId="5" xfId="0" applyNumberFormat="1" applyFont="1" applyBorder="1" applyAlignment="1" applyProtection="1">
      <alignment horizontal="center" vertical="center"/>
      <protection locked="0"/>
    </xf>
    <xf numFmtId="168" fontId="4" fillId="0" borderId="6" xfId="0" applyNumberFormat="1" applyFont="1" applyBorder="1" applyAlignment="1" applyProtection="1">
      <alignment horizontal="center" vertical="center"/>
      <protection locked="0"/>
    </xf>
    <xf numFmtId="168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168" fontId="4" fillId="0" borderId="38" xfId="0" applyNumberFormat="1" applyFont="1" applyBorder="1" applyAlignment="1" applyProtection="1">
      <alignment horizontal="center" vertical="center"/>
      <protection locked="0"/>
    </xf>
    <xf numFmtId="168" fontId="4" fillId="0" borderId="39" xfId="0" applyNumberFormat="1" applyFont="1" applyBorder="1" applyAlignment="1" applyProtection="1">
      <alignment horizontal="center" vertical="center"/>
      <protection locked="0"/>
    </xf>
    <xf numFmtId="168" fontId="4" fillId="0" borderId="40" xfId="0" applyNumberFormat="1" applyFont="1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5" fontId="4" fillId="0" borderId="35" xfId="0" applyNumberFormat="1" applyFont="1" applyBorder="1" applyAlignment="1" applyProtection="1">
      <alignment horizontal="center" vertical="center"/>
      <protection locked="0"/>
    </xf>
    <xf numFmtId="165" fontId="4" fillId="0" borderId="36" xfId="0" applyNumberFormat="1" applyFont="1" applyBorder="1" applyAlignment="1" applyProtection="1">
      <alignment horizontal="center" vertical="center"/>
      <protection locked="0"/>
    </xf>
    <xf numFmtId="165" fontId="4" fillId="0" borderId="37" xfId="0" applyNumberFormat="1" applyFont="1" applyBorder="1" applyAlignment="1" applyProtection="1">
      <alignment horizontal="center" vertical="center"/>
      <protection locked="0"/>
    </xf>
    <xf numFmtId="165" fontId="4" fillId="0" borderId="38" xfId="0" applyNumberFormat="1" applyFont="1" applyBorder="1" applyAlignment="1" applyProtection="1">
      <alignment horizontal="center" vertical="center"/>
      <protection locked="0"/>
    </xf>
    <xf numFmtId="165" fontId="4" fillId="0" borderId="39" xfId="0" applyNumberFormat="1" applyFont="1" applyBorder="1" applyAlignment="1" applyProtection="1">
      <alignment horizontal="center" vertical="center"/>
      <protection locked="0"/>
    </xf>
    <xf numFmtId="165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164" fontId="4" fillId="0" borderId="1" xfId="0" applyNumberFormat="1" applyFont="1" applyBorder="1" applyAlignment="1">
      <alignment horizontal="center" vertical="center" textRotation="90" wrapText="1"/>
    </xf>
    <xf numFmtId="164" fontId="4" fillId="0" borderId="12" xfId="0" applyNumberFormat="1" applyFont="1" applyBorder="1" applyAlignment="1">
      <alignment horizontal="center" vertical="center" textRotation="90" wrapText="1"/>
    </xf>
    <xf numFmtId="164" fontId="4" fillId="0" borderId="13" xfId="0" applyNumberFormat="1" applyFont="1" applyBorder="1" applyAlignment="1">
      <alignment horizontal="center" vertical="center" textRotation="90" wrapText="1"/>
    </xf>
    <xf numFmtId="164" fontId="4" fillId="0" borderId="14" xfId="0" applyNumberFormat="1" applyFont="1" applyBorder="1" applyAlignment="1">
      <alignment horizontal="center" vertical="center" textRotation="90" wrapText="1"/>
    </xf>
    <xf numFmtId="168" fontId="4" fillId="0" borderId="35" xfId="0" applyNumberFormat="1" applyFont="1" applyBorder="1" applyAlignment="1" applyProtection="1">
      <alignment horizontal="center" vertical="center"/>
      <protection locked="0"/>
    </xf>
    <xf numFmtId="168" fontId="4" fillId="0" borderId="36" xfId="0" applyNumberFormat="1" applyFont="1" applyBorder="1" applyAlignment="1" applyProtection="1">
      <alignment horizontal="center" vertical="center"/>
      <protection locked="0"/>
    </xf>
    <xf numFmtId="168" fontId="4" fillId="0" borderId="37" xfId="0" applyNumberFormat="1" applyFont="1" applyBorder="1" applyAlignment="1" applyProtection="1">
      <alignment horizontal="center" vertical="center"/>
      <protection locked="0"/>
    </xf>
    <xf numFmtId="168" fontId="4" fillId="0" borderId="7" xfId="0" applyNumberFormat="1" applyFont="1" applyBorder="1" applyAlignment="1" applyProtection="1">
      <alignment horizontal="center" vertical="center" wrapText="1"/>
      <protection locked="0"/>
    </xf>
    <xf numFmtId="168" fontId="4" fillId="0" borderId="8" xfId="0" applyNumberFormat="1" applyFont="1" applyBorder="1" applyAlignment="1" applyProtection="1">
      <alignment horizontal="center" vertical="center" wrapText="1"/>
      <protection locked="0"/>
    </xf>
    <xf numFmtId="168" fontId="4" fillId="0" borderId="12" xfId="0" applyNumberFormat="1" applyFont="1" applyBorder="1" applyAlignment="1" applyProtection="1">
      <alignment horizontal="center" vertical="center"/>
      <protection locked="0"/>
    </xf>
    <xf numFmtId="168" fontId="4" fillId="0" borderId="16" xfId="0" applyNumberFormat="1" applyFont="1" applyBorder="1" applyAlignment="1" applyProtection="1">
      <alignment horizontal="center" vertical="center"/>
      <protection locked="0"/>
    </xf>
    <xf numFmtId="168" fontId="4" fillId="0" borderId="18" xfId="0" applyNumberFormat="1" applyFont="1" applyBorder="1" applyAlignment="1" applyProtection="1">
      <alignment horizontal="center" vertical="center"/>
      <protection locked="0"/>
    </xf>
    <xf numFmtId="168" fontId="4" fillId="6" borderId="7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170" fontId="4" fillId="0" borderId="7" xfId="2" applyNumberFormat="1" applyFont="1" applyBorder="1" applyAlignment="1" applyProtection="1">
      <alignment horizontal="center" vertical="center"/>
      <protection locked="0"/>
    </xf>
    <xf numFmtId="170" fontId="4" fillId="0" borderId="8" xfId="2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170" fontId="4" fillId="0" borderId="7" xfId="2" applyNumberFormat="1" applyFont="1" applyFill="1" applyBorder="1" applyAlignment="1" applyProtection="1">
      <alignment horizontal="center" vertical="center"/>
      <protection locked="0"/>
    </xf>
    <xf numFmtId="170" fontId="4" fillId="0" borderId="8" xfId="2" applyNumberFormat="1" applyFont="1" applyFill="1" applyBorder="1" applyAlignment="1" applyProtection="1">
      <alignment horizontal="center" vertical="center"/>
      <protection locked="0"/>
    </xf>
    <xf numFmtId="170" fontId="4" fillId="0" borderId="7" xfId="2" applyNumberFormat="1" applyFont="1" applyBorder="1" applyAlignment="1" applyProtection="1">
      <alignment horizontal="center" vertical="center" wrapText="1"/>
      <protection locked="0"/>
    </xf>
    <xf numFmtId="170" fontId="4" fillId="0" borderId="8" xfId="2" applyNumberFormat="1" applyFont="1" applyBorder="1" applyAlignment="1" applyProtection="1">
      <alignment horizontal="center" vertical="center" wrapText="1"/>
      <protection locked="0"/>
    </xf>
    <xf numFmtId="170" fontId="4" fillId="6" borderId="7" xfId="2" applyNumberFormat="1" applyFont="1" applyFill="1" applyBorder="1" applyAlignment="1" applyProtection="1">
      <alignment horizontal="center" vertical="center"/>
      <protection locked="0"/>
    </xf>
    <xf numFmtId="170" fontId="4" fillId="6" borderId="8" xfId="2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8" fontId="4" fillId="0" borderId="7" xfId="2" applyNumberFormat="1" applyFont="1" applyBorder="1" applyAlignment="1" applyProtection="1">
      <alignment horizontal="center" vertical="center"/>
      <protection locked="0"/>
    </xf>
    <xf numFmtId="168" fontId="4" fillId="0" borderId="8" xfId="2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10" fillId="0" borderId="30" xfId="0" applyNumberFormat="1" applyFont="1" applyBorder="1" applyAlignment="1">
      <alignment horizontal="center" vertical="center" textRotation="90" wrapText="1"/>
    </xf>
    <xf numFmtId="164" fontId="10" fillId="0" borderId="29" xfId="0" applyNumberFormat="1" applyFont="1" applyBorder="1" applyAlignment="1">
      <alignment horizontal="center" vertical="center" textRotation="90" wrapText="1"/>
    </xf>
    <xf numFmtId="164" fontId="10" fillId="0" borderId="39" xfId="0" applyNumberFormat="1" applyFont="1" applyBorder="1" applyAlignment="1">
      <alignment horizontal="center" vertical="center" textRotation="90" wrapText="1"/>
    </xf>
    <xf numFmtId="0" fontId="10" fillId="0" borderId="58" xfId="0" applyFont="1" applyBorder="1" applyAlignment="1">
      <alignment horizontal="center" vertical="center" textRotation="90" wrapText="1"/>
    </xf>
    <xf numFmtId="0" fontId="10" fillId="0" borderId="59" xfId="0" applyFont="1" applyBorder="1" applyAlignment="1">
      <alignment horizontal="center" vertical="center" textRotation="90" wrapText="1"/>
    </xf>
    <xf numFmtId="0" fontId="10" fillId="0" borderId="54" xfId="0" applyFont="1" applyBorder="1" applyAlignment="1">
      <alignment horizontal="center" vertical="center" textRotation="90" wrapText="1"/>
    </xf>
    <xf numFmtId="0" fontId="4" fillId="0" borderId="58" xfId="0" applyFont="1" applyBorder="1" applyAlignment="1">
      <alignment horizontal="center" vertical="center" textRotation="90" wrapText="1"/>
    </xf>
    <xf numFmtId="0" fontId="4" fillId="0" borderId="59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83</xdr:row>
      <xdr:rowOff>0</xdr:rowOff>
    </xdr:from>
    <xdr:to>
      <xdr:col>32</xdr:col>
      <xdr:colOff>0</xdr:colOff>
      <xdr:row>83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5AA6692-2DCC-4037-B258-D9BF01AB1159}"/>
            </a:ext>
          </a:extLst>
        </xdr:cNvPr>
        <xdr:cNvSpPr>
          <a:spLocks noChangeShapeType="1"/>
        </xdr:cNvSpPr>
      </xdr:nvSpPr>
      <xdr:spPr bwMode="auto">
        <a:xfrm>
          <a:off x="21694140" y="1760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EE701ED-71AA-4FA6-B83A-C11612DF64F5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C10B2FA0-15F1-4ED4-B219-49A49E4C1DEF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614A3B10-6E9E-49A8-9358-2F41F525273E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8B2BB475-3F1B-4480-BB3B-B9C55C13E16B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B3BFBAB2-8A56-4876-BE50-E414DAD84E5A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D11619D5-4C31-4749-8CF2-DD83124FF7AC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77720396-14B5-4C47-86D6-77938CCBBFF9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41C41C1C-AC51-4169-A214-7D468990CDEA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67D86461-5894-4B1B-B54B-8CAE941C8886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5F880126-E54E-4DA2-8351-3F816130B084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D784A145-5A02-471F-8106-CC71A622AECD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29491B9C-7EFB-4407-88D0-27AA67117ADE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2773F157-6C5D-4920-8E7C-DC33945D8112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3B86945-B6E4-4EB8-8ADD-BF249280D517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CB7676D0-69DC-4CA9-AA0B-DDCB9D4B6506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25140ED0-8A46-431F-ABF9-943CEF27309D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003762F3-55F6-4EEE-AD29-164F44137816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85B8ACC5-A7FC-4134-A27A-D1846909D596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FE9C579F-1426-45AA-A7B2-E782C8B3C545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B0C8FF06-1E80-4F8A-AA9F-EAFC83DB2E12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5454954B-8184-4638-AC07-85E22EA37ECB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635D4272-5F97-49CD-AA4F-B593552B3120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879B5198-C624-4DFB-8257-B1F4DE008538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3923F660-391A-4CB9-9122-5A9A0AEACDDF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A54B45D5-B4EF-46F5-AD10-D34F9CC0C183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6C63F694-ABCE-497C-8AFD-204620BCF02B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69EB4A74-C1B6-4CE8-9943-5056A39BFF9E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30" name="Line 33">
          <a:extLst>
            <a:ext uri="{FF2B5EF4-FFF2-40B4-BE49-F238E27FC236}">
              <a16:creationId xmlns:a16="http://schemas.microsoft.com/office/drawing/2014/main" id="{1514E40F-A25C-4C47-88AD-373E9814814A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id="{BE80CB2B-9593-4696-A6A2-EA7002DD93D0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9F07175E-FC41-4D91-B91D-066A47281EAA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D1D32B6C-75AB-4CB6-8787-0D19BE54B057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34" name="Line 41">
          <a:extLst>
            <a:ext uri="{FF2B5EF4-FFF2-40B4-BE49-F238E27FC236}">
              <a16:creationId xmlns:a16="http://schemas.microsoft.com/office/drawing/2014/main" id="{FFDEC36C-CC01-4773-8589-A90CADE4F250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35" name="Line 42">
          <a:extLst>
            <a:ext uri="{FF2B5EF4-FFF2-40B4-BE49-F238E27FC236}">
              <a16:creationId xmlns:a16="http://schemas.microsoft.com/office/drawing/2014/main" id="{83DD818C-7D3C-429F-92AC-1C10DF5C5E93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36" name="Line 43">
          <a:extLst>
            <a:ext uri="{FF2B5EF4-FFF2-40B4-BE49-F238E27FC236}">
              <a16:creationId xmlns:a16="http://schemas.microsoft.com/office/drawing/2014/main" id="{36ED2D5F-46BC-4C5B-BFF7-6DE0A6B84320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37" name="Line 44">
          <a:extLst>
            <a:ext uri="{FF2B5EF4-FFF2-40B4-BE49-F238E27FC236}">
              <a16:creationId xmlns:a16="http://schemas.microsoft.com/office/drawing/2014/main" id="{E02E3B6D-99BA-45AA-962A-4B13042639DF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38" name="Line 45">
          <a:extLst>
            <a:ext uri="{FF2B5EF4-FFF2-40B4-BE49-F238E27FC236}">
              <a16:creationId xmlns:a16="http://schemas.microsoft.com/office/drawing/2014/main" id="{19C5C612-E610-4207-A33C-6D48BB8640BC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168</xdr:row>
      <xdr:rowOff>0</xdr:rowOff>
    </xdr:from>
    <xdr:to>
      <xdr:col>32</xdr:col>
      <xdr:colOff>0</xdr:colOff>
      <xdr:row>168</xdr:row>
      <xdr:rowOff>0</xdr:rowOff>
    </xdr:to>
    <xdr:sp macro="" textlink="">
      <xdr:nvSpPr>
        <xdr:cNvPr id="39" name="Line 46">
          <a:extLst>
            <a:ext uri="{FF2B5EF4-FFF2-40B4-BE49-F238E27FC236}">
              <a16:creationId xmlns:a16="http://schemas.microsoft.com/office/drawing/2014/main" id="{74A0B66D-22B6-4984-BDB2-FB40ED2F7C66}"/>
            </a:ext>
          </a:extLst>
        </xdr:cNvPr>
        <xdr:cNvSpPr>
          <a:spLocks noChangeShapeType="1"/>
        </xdr:cNvSpPr>
      </xdr:nvSpPr>
      <xdr:spPr bwMode="auto">
        <a:xfrm>
          <a:off x="21694140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40" name="Line 47">
          <a:extLst>
            <a:ext uri="{FF2B5EF4-FFF2-40B4-BE49-F238E27FC236}">
              <a16:creationId xmlns:a16="http://schemas.microsoft.com/office/drawing/2014/main" id="{B83031FC-9651-4977-9D1A-5C957D23C8F6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168</xdr:row>
      <xdr:rowOff>0</xdr:rowOff>
    </xdr:from>
    <xdr:to>
      <xdr:col>45</xdr:col>
      <xdr:colOff>161925</xdr:colOff>
      <xdr:row>168</xdr:row>
      <xdr:rowOff>0</xdr:rowOff>
    </xdr:to>
    <xdr:sp macro="" textlink="">
      <xdr:nvSpPr>
        <xdr:cNvPr id="41" name="Line 48">
          <a:extLst>
            <a:ext uri="{FF2B5EF4-FFF2-40B4-BE49-F238E27FC236}">
              <a16:creationId xmlns:a16="http://schemas.microsoft.com/office/drawing/2014/main" id="{85313771-1005-4E14-8085-D9D4799D444D}"/>
            </a:ext>
          </a:extLst>
        </xdr:cNvPr>
        <xdr:cNvSpPr>
          <a:spLocks noChangeShapeType="1"/>
        </xdr:cNvSpPr>
      </xdr:nvSpPr>
      <xdr:spPr bwMode="auto">
        <a:xfrm rot="5400000">
          <a:off x="2953702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168</xdr:row>
      <xdr:rowOff>0</xdr:rowOff>
    </xdr:from>
    <xdr:to>
      <xdr:col>44</xdr:col>
      <xdr:colOff>66675</xdr:colOff>
      <xdr:row>168</xdr:row>
      <xdr:rowOff>0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61E0C879-8D5C-4CE7-895C-D70D62B3A908}"/>
            </a:ext>
          </a:extLst>
        </xdr:cNvPr>
        <xdr:cNvSpPr>
          <a:spLocks noChangeShapeType="1"/>
        </xdr:cNvSpPr>
      </xdr:nvSpPr>
      <xdr:spPr bwMode="auto">
        <a:xfrm rot="5400000">
          <a:off x="28816935" y="177622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110</xdr:row>
      <xdr:rowOff>0</xdr:rowOff>
    </xdr:from>
    <xdr:to>
      <xdr:col>35</xdr:col>
      <xdr:colOff>0</xdr:colOff>
      <xdr:row>110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111</xdr:row>
      <xdr:rowOff>0</xdr:rowOff>
    </xdr:from>
    <xdr:to>
      <xdr:col>35</xdr:col>
      <xdr:colOff>0</xdr:colOff>
      <xdr:row>111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161925</xdr:colOff>
      <xdr:row>111</xdr:row>
      <xdr:rowOff>0</xdr:rowOff>
    </xdr:from>
    <xdr:to>
      <xdr:col>48</xdr:col>
      <xdr:colOff>161925</xdr:colOff>
      <xdr:row>111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66675</xdr:colOff>
      <xdr:row>111</xdr:row>
      <xdr:rowOff>0</xdr:rowOff>
    </xdr:from>
    <xdr:to>
      <xdr:col>47</xdr:col>
      <xdr:colOff>66675</xdr:colOff>
      <xdr:row>111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 t="str">
            <v>Y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 t="str">
            <v>Y</v>
          </cell>
          <cell r="C3" t="str">
            <v>LS</v>
          </cell>
          <cell r="D3" t="str">
            <v>PROFESSIONAL LIABILITY INSURANCE</v>
          </cell>
          <cell r="F3" t="str">
            <v>ODOT INTERNAL USE</v>
          </cell>
          <cell r="G3">
            <v>0</v>
          </cell>
        </row>
        <row r="4">
          <cell r="A4" t="str">
            <v>100E44000</v>
          </cell>
          <cell r="B4" t="str">
            <v>Y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 t="str">
            <v>Y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 t="str">
            <v>Y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 t="str">
            <v>Y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 t="str">
            <v>Y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 t="str">
            <v>Y</v>
          </cell>
          <cell r="C15" t="str">
            <v>LS</v>
          </cell>
          <cell r="D15" t="str">
            <v>CPM PROGRESS SCHEDULE</v>
          </cell>
          <cell r="F15" t="str">
            <v>DESIGN BUILD PROJECTS ONLY</v>
          </cell>
          <cell r="G15">
            <v>0</v>
          </cell>
        </row>
        <row r="16">
          <cell r="A16" t="str">
            <v>108E30000</v>
          </cell>
          <cell r="B16" t="str">
            <v>Y</v>
          </cell>
          <cell r="C16" t="str">
            <v>LS</v>
          </cell>
          <cell r="D16" t="str">
            <v>CPM PROGRESS SCHEDULE SHORT DURATION PROJECTS</v>
          </cell>
          <cell r="F16" t="str">
            <v>DESIGN BUILD PROJECTS ONLY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 t="str">
            <v>Y</v>
          </cell>
          <cell r="C20" t="str">
            <v>LS</v>
          </cell>
          <cell r="D20" t="str">
            <v>CLEARING AND GRUBBING</v>
          </cell>
          <cell r="F20" t="str">
            <v>DESIGN BUILD PROJECTS ONLY</v>
          </cell>
          <cell r="G20">
            <v>0</v>
          </cell>
        </row>
        <row r="21">
          <cell r="A21" t="str">
            <v>201E11001</v>
          </cell>
          <cell r="B21" t="str">
            <v>Y</v>
          </cell>
          <cell r="C21" t="str">
            <v>LS</v>
          </cell>
          <cell r="D21" t="str">
            <v>CLEARING AND GRUBBING, AS PER PLAN</v>
          </cell>
          <cell r="F21" t="str">
            <v>DESIGN BUILD PROJECTS ONLY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 t="str">
            <v>Y</v>
          </cell>
          <cell r="C39" t="str">
            <v>EACH</v>
          </cell>
          <cell r="D39" t="str">
            <v>STUMP REMOVED, 60", AS PER PLAN</v>
          </cell>
          <cell r="F39" t="str">
            <v>DESIGN BUILD PROJECTS ONLY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 t="str">
            <v>Y</v>
          </cell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 t="str">
            <v>Y</v>
          </cell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 t="str">
            <v>Y</v>
          </cell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 t="str">
            <v>ADD SUPPLEMENTAL OR PARCEL NO.</v>
          </cell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 t="str">
            <v>ADD SUPPLEMENTAL OR PARCEL NO.</v>
          </cell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 t="str">
            <v>Y</v>
          </cell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 t="str">
            <v>Y</v>
          </cell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 t="str">
            <v>Y</v>
          </cell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 t="str">
            <v>Y</v>
          </cell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 t="str">
            <v>Y</v>
          </cell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 t="str">
            <v>ADD SUPPLEMENTAL DESCRIPTION</v>
          </cell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 t="str">
            <v>ADD SUPPLEMENTAL DESCRIPTION</v>
          </cell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 t="str">
            <v>ADD SUPPLEMENTAL DESCRIPTION</v>
          </cell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 t="str">
            <v>Y</v>
          </cell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 t="str">
            <v>Y</v>
          </cell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 t="str">
            <v>Y</v>
          </cell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 t="str">
            <v>Y</v>
          </cell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 t="str">
            <v>Y</v>
          </cell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 t="str">
            <v>Y</v>
          </cell>
          <cell r="C328" t="str">
            <v>SY</v>
          </cell>
          <cell r="D328" t="str">
            <v>SUBGRADE COMPACTION</v>
          </cell>
          <cell r="F328" t="str">
            <v>DESIGN BUILD PROJECTS ONLY</v>
          </cell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 t="str">
            <v>12" DEPTH OR LESS</v>
          </cell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 t="str">
            <v>12" DEPTH OR LESS</v>
          </cell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 t="str">
            <v>SPECIFY DPTH GREATER THAN 12"</v>
          </cell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 t="str">
            <v>Y</v>
          </cell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 t="str">
            <v>Y</v>
          </cell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 t="str">
            <v>CHECK UNIT OF MEASURE</v>
          </cell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 t="str">
            <v>Y</v>
          </cell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 t="str">
            <v>CHECK UNIT OF MEASURE</v>
          </cell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 t="str">
            <v>CHECK UNIT OF MEASURE</v>
          </cell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 t="str">
            <v>CHECK UNIT OF MEASURE</v>
          </cell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 t="str">
            <v>CHECK UNIT OF MEASURE</v>
          </cell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 t="str">
            <v>CHECK UNIT OF MEASURE</v>
          </cell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 t="str">
            <v>ADD SUPPLEMENTAL DESCRIPTION</v>
          </cell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 t="str">
            <v>Y</v>
          </cell>
          <cell r="C457" t="str">
            <v>CY</v>
          </cell>
          <cell r="D457" t="str">
            <v>ASPHALT CONCRETE BASE, PG64-22 (DRIVEWAYS)</v>
          </cell>
          <cell r="F457" t="str">
            <v>DESIGN BUILD PROJECTS ONLY</v>
          </cell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 t="str">
            <v>Y</v>
          </cell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 t="str">
            <v>Y</v>
          </cell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 t="str">
            <v>Y</v>
          </cell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 t="str">
            <v>Y</v>
          </cell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 t="str">
            <v>Y</v>
          </cell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 t="str">
            <v>Y</v>
          </cell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 t="str">
            <v>ADD SUPPLEMENTAL DESCRIPTION</v>
          </cell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 t="str">
            <v>ADD SUPPLEMENTAL DESCRIPTION</v>
          </cell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 t="str">
            <v>ADD SUPPLEMENTAL DESCRIPTION</v>
          </cell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 t="str">
            <v>CHECK UNIT OF MEASURE</v>
          </cell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 t="str">
            <v>CHECK UNIT OF MEASURE</v>
          </cell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 t="str">
            <v>CHECK UNIT OF MEASURE</v>
          </cell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 t="str">
            <v>CHECK UNIT OF MEASURE</v>
          </cell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 t="str">
            <v>CHECK UNIT OF MEASURE</v>
          </cell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 t="str">
            <v>CHECK UNIT OF MEASURE</v>
          </cell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 t="str">
            <v>CHECK UNIT OF MEASURE</v>
          </cell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 t="str">
            <v>CHECK UNIT OF MEASURE</v>
          </cell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 t="str">
            <v>CHECK UNIT OF MEASURE</v>
          </cell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 t="str">
            <v>CHECK UNIT OF MEASURE</v>
          </cell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 t="str">
            <v>CHECK UNIT OF MEASURE</v>
          </cell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 t="str">
            <v>CHECK UNIT OF MEASURE</v>
          </cell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 t="str">
            <v>CHECK UNIT OF MEASURE</v>
          </cell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 t="str">
            <v>ADD SUPLEMENTAL DESCRIPTION</v>
          </cell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 t="str">
            <v>ADD SUPPLEMENTAL DESCRIPTION</v>
          </cell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 t="str">
            <v>ADD SUPPLEMENTAL DESCRIPTION</v>
          </cell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 t="str">
            <v>Y</v>
          </cell>
          <cell r="C583" t="str">
            <v>CY</v>
          </cell>
          <cell r="D583" t="str">
            <v>ASPHALT CONCRETE SURFACE COURSE, TYPE 1, (448), (DRIVEWAYS), AS PER PLAN</v>
          </cell>
          <cell r="F583" t="str">
            <v>DESIGN BUILD PROJECTS ONLY</v>
          </cell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 t="str">
            <v>SPECIFY BINDER TYPE</v>
          </cell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 t="str">
            <v>SPECIFY BINDER TYPE</v>
          </cell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 t="str">
            <v>SPECIFY BINDER TYPE</v>
          </cell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 t="str">
            <v>SPECIFY BINDER TYPE</v>
          </cell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 t="str">
            <v>Y</v>
          </cell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 t="str">
            <v>Y</v>
          </cell>
          <cell r="C608" t="str">
            <v>CY</v>
          </cell>
          <cell r="D608" t="str">
            <v>ASPHALT CONCRETE INTERMEDIATE COURSE, 19 MM, TYPE A (446) (DRIVEWAYS)</v>
          </cell>
          <cell r="F608" t="str">
            <v>DESIGN BUILD PROJECTS ONLY</v>
          </cell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 t="str">
            <v>Y</v>
          </cell>
          <cell r="C651" t="str">
            <v>SY</v>
          </cell>
          <cell r="D651" t="str">
            <v>8" REINFORCED CONCRETE PAVEMENT, CLASS QC1 WITH QC/QA, AS PER PLAN</v>
          </cell>
          <cell r="F651" t="str">
            <v>DESIGN BUILD PROJECTS ONLY</v>
          </cell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 t="str">
            <v>ADD SUPPLEMENTAL DESCRIPTION</v>
          </cell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 t="str">
            <v>ADD SUPPLEMENTAL DESCRIPTION</v>
          </cell>
          <cell r="G701">
            <v>0</v>
          </cell>
        </row>
        <row r="702">
          <cell r="A702" t="str">
            <v>452E10051</v>
          </cell>
          <cell r="B702" t="str">
            <v>Y</v>
          </cell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 t="str">
            <v>Y</v>
          </cell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 t="str">
            <v>Y</v>
          </cell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 t="str">
            <v>Y</v>
          </cell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 t="str">
            <v>Y</v>
          </cell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 t="str">
            <v>Y</v>
          </cell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 t="str">
            <v>Y</v>
          </cell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 t="str">
            <v>Y</v>
          </cell>
          <cell r="C710" t="str">
            <v>SY</v>
          </cell>
          <cell r="D710" t="str">
            <v>8" NON-REINFORCED CONCRETE PAVEMENT, CLASS QC1</v>
          </cell>
          <cell r="F710" t="str">
            <v>DESIGN BUILD PROJECTS ONLY</v>
          </cell>
          <cell r="G710">
            <v>0</v>
          </cell>
        </row>
        <row r="711">
          <cell r="A711" t="str">
            <v>452E12011</v>
          </cell>
          <cell r="B711" t="str">
            <v>Y</v>
          </cell>
          <cell r="C711" t="str">
            <v>SY</v>
          </cell>
          <cell r="D711" t="str">
            <v>8" NON-REINFORCED CONCRETE PAVEMENT, CLASS QC1, AS PER PLAN</v>
          </cell>
          <cell r="F711" t="str">
            <v>FOR DESIGN BUILD PROJECTS ONLY</v>
          </cell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 t="str">
            <v>Y</v>
          </cell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 t="str">
            <v>Y</v>
          </cell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 t="str">
            <v>CHECK UNIT OF MEASURE</v>
          </cell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 t="str">
            <v>CHECK UNIT OF MEASURE</v>
          </cell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 t="str">
            <v>CHECK UNIT OF MEASURE</v>
          </cell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 t="str">
            <v>CHECK UNIT OF MEASURE</v>
          </cell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 t="str">
            <v>CHECK UNIT OF MEASURE</v>
          </cell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 t="str">
            <v>CHECK UNIT OF MEASURE</v>
          </cell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 t="str">
            <v>CHECK UNIT OF MEASURE</v>
          </cell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 t="str">
            <v>CHECK UNIT OF MEASURE</v>
          </cell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 t="str">
            <v>ADD SUPPLEMENTAL DESCRIPTION</v>
          </cell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 t="str">
            <v>ADD SUPPLEMENTAL DESCRIPTION</v>
          </cell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 t="str">
            <v>ADD SUPPLEMENTAL DESCRIPTION</v>
          </cell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 t="str">
            <v>Y</v>
          </cell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 t="str">
            <v>Y</v>
          </cell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 t="str">
            <v>Y</v>
          </cell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 t="str">
            <v>BMS-GRDR W/DFL PPT OR BAR MED</v>
          </cell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 t="str">
            <v>BMS-GRDR W/DFL PPT OR BAR MED</v>
          </cell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 t="str">
            <v>BMS-GRDR W/INTEGRAL BACKWALL</v>
          </cell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 t="str">
            <v>BMS-GRDR W/INTEGRAL BACKWALL</v>
          </cell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 t="str">
            <v>BMS-GRDR W/INTEGRAL BACKWALL</v>
          </cell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 t="str">
            <v>BMS-GRDR W/INTEGRAL BACKWALL</v>
          </cell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 t="str">
            <v>CONT. CONC SLAB INCL PIER CAPS</v>
          </cell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 t="str">
            <v>CONT. CONC SLAB INCL PIER CAPS</v>
          </cell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 t="str">
            <v>SINGLE SPAN W/SWALKS OR MED</v>
          </cell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 t="str">
            <v>SINGLE SPAN W/SWALKS OR MED</v>
          </cell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 t="str">
            <v>DIAPHRAGMS FOR CONC I-BEAMS</v>
          </cell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 t="str">
            <v>DIAPHRAGMS FOR CONC I-BEAMS</v>
          </cell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 t="str">
            <v>DIAPHRAGMS FOR CONC I-BEAMS</v>
          </cell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 t="str">
            <v>DIAPHRAGMS FOR CONC I-BEAMS</v>
          </cell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 t="str">
            <v>MISC. NEW CONSTRUCTION</v>
          </cell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 t="str">
            <v>MISC. NEW CONSTRUCTION</v>
          </cell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 t="str">
            <v>MISC. NEW CONSTRUCTION</v>
          </cell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 t="str">
            <v>MISC. NEW CONSTRUCTION</v>
          </cell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 t="str">
            <v>REPAIR OR RECONSTRUCTION</v>
          </cell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 t="str">
            <v>REPAIR OR RECONSTRUCTION</v>
          </cell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 t="str">
            <v>REPAIR OR RECONSTRUCTION</v>
          </cell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 t="str">
            <v>REPAIR OR RECONSTRUCTION</v>
          </cell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 t="str">
            <v>CHECK UNIT OF MEASURE</v>
          </cell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 t="str">
            <v>CHECK UNIT OF MEASURE</v>
          </cell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 t="str">
            <v>CHECK UNIT OF MEASURE</v>
          </cell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 t="str">
            <v>CHECK UNIT OF MEASURE</v>
          </cell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 t="str">
            <v>WALLS</v>
          </cell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 t="str">
            <v>WALLS</v>
          </cell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 t="str">
            <v>WALLS</v>
          </cell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 t="str">
            <v>WALLS</v>
          </cell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 t="str">
            <v>CAP AND COLUMN</v>
          </cell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 t="str">
            <v>CAP AND COLUMN</v>
          </cell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 t="str">
            <v>CAP AND COLUMN</v>
          </cell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 t="str">
            <v>CAP AND COLUMN</v>
          </cell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 t="str">
            <v>COLUMNS</v>
          </cell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 t="str">
            <v>COLUMNS</v>
          </cell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 t="str">
            <v>T TYPE</v>
          </cell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 t="str">
            <v>T TYPE</v>
          </cell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 t="str">
            <v>T TYPE</v>
          </cell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 t="str">
            <v>T TYPE</v>
          </cell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 t="str">
            <v>MISC. NEW CONSTRUCTION</v>
          </cell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 t="str">
            <v>MISC. NEW CONSTRUCTION</v>
          </cell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 t="str">
            <v>MISC. NEW CONSTRUCTION</v>
          </cell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 t="str">
            <v>MISC. NEW CONSTRUCTION</v>
          </cell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 t="str">
            <v>REPAIR OR RECONSTRUCTION</v>
          </cell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 t="str">
            <v>MISC. NEW CONSTRUCTION</v>
          </cell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 t="str">
            <v>MISC. NEW CONSTRUCTION</v>
          </cell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 t="str">
            <v>REPAIR OR RECONSTRUCTION</v>
          </cell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 t="str">
            <v>REPAIR OR RECONSTRUCTION</v>
          </cell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 t="str">
            <v>Y</v>
          </cell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 t="str">
            <v>Y</v>
          </cell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 t="str">
            <v>CHECK UNIT OF MEASURE</v>
          </cell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 t="str">
            <v>CHECK UNIT OF MEASURE</v>
          </cell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 t="str">
            <v>CHECK UNIT OF MEASURE</v>
          </cell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 t="str">
            <v>CHECK UNIT OF MEASURE</v>
          </cell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 t="str">
            <v>CHECK UNIT OF MEASURE</v>
          </cell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 t="str">
            <v>CHECK UNIT OF MEASURE</v>
          </cell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 t="str">
            <v>CHECK UNIT OF MEASURE</v>
          </cell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 t="str">
            <v>CHECK UNIT OF MEASURE</v>
          </cell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 t="str">
            <v>CHECK UNIT OF MEASURE</v>
          </cell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 t="str">
            <v>CHECK UNIT OF MEASURE</v>
          </cell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 t="str">
            <v>CHECK UNIT OF MEASURE</v>
          </cell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 t="str">
            <v>CHECK UNIT OF MEASURE</v>
          </cell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 t="str">
            <v>CHECK UNIT OF MEASURE</v>
          </cell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 t="str">
            <v>CHECK UNIT OF MEASURE</v>
          </cell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 t="str">
            <v>Y</v>
          </cell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 t="str">
            <v>Y</v>
          </cell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 t="str">
            <v>Y</v>
          </cell>
          <cell r="C1105" t="str">
            <v>SF</v>
          </cell>
          <cell r="D1105" t="str">
            <v>SURFACE PREPARATION OF EXISTING STRUCTURAL STEEL</v>
          </cell>
          <cell r="F1105" t="str">
            <v>ADD SUPPLEMENTAL DESCRIPTION</v>
          </cell>
          <cell r="G1105">
            <v>0</v>
          </cell>
        </row>
        <row r="1106">
          <cell r="A1106" t="str">
            <v>514E00051</v>
          </cell>
          <cell r="B1106" t="str">
            <v>Y</v>
          </cell>
          <cell r="C1106" t="str">
            <v>SF</v>
          </cell>
          <cell r="D1106" t="str">
            <v>SURFACE PREPARATION OF EXISTING STRUCTURAL STEEL, AS PER PLAN</v>
          </cell>
          <cell r="F1106" t="str">
            <v>ADD SUPPLEMENTAL DESCRIPTION</v>
          </cell>
          <cell r="G1106">
            <v>0</v>
          </cell>
        </row>
        <row r="1107">
          <cell r="A1107" t="str">
            <v>514E00056</v>
          </cell>
          <cell r="B1107" t="str">
            <v>Y</v>
          </cell>
          <cell r="C1107" t="str">
            <v>SF</v>
          </cell>
          <cell r="D1107" t="str">
            <v>FIELD PAINTING OF EXISTING STRUCTURAL STEEL, PRIME COAT</v>
          </cell>
          <cell r="F1107" t="str">
            <v>ADD SUPPLEMENTAL DESCRIPTION</v>
          </cell>
          <cell r="G1107">
            <v>0</v>
          </cell>
        </row>
        <row r="1108">
          <cell r="A1108" t="str">
            <v>514E00057</v>
          </cell>
          <cell r="B1108" t="str">
            <v>Y</v>
          </cell>
          <cell r="C1108" t="str">
            <v>SF</v>
          </cell>
          <cell r="D1108" t="str">
            <v>FIELD PAINTING OF EXISTING STRUCTURAL STEEL, PRIME COAT, AS PER PLAN</v>
          </cell>
          <cell r="F1108" t="str">
            <v>ADD SUPPLEMENTAL DESCRIPTION</v>
          </cell>
          <cell r="G1108">
            <v>0</v>
          </cell>
        </row>
        <row r="1109">
          <cell r="A1109" t="str">
            <v>514E00060</v>
          </cell>
          <cell r="B1109" t="str">
            <v>Y</v>
          </cell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 t="str">
            <v>Y</v>
          </cell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 t="str">
            <v>Y</v>
          </cell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 t="str">
            <v>Y</v>
          </cell>
          <cell r="C1116" t="str">
            <v>LS</v>
          </cell>
          <cell r="D1116" t="str">
            <v>FIELD PAINTING OF EXISTING STRUCTURAL STEEL, PRIME COAT, AS PER PLAN</v>
          </cell>
          <cell r="F1116" t="str">
            <v>ADD SUPPLEMENTAL DESCRIPTION</v>
          </cell>
          <cell r="G1116">
            <v>0</v>
          </cell>
        </row>
        <row r="1117">
          <cell r="A1117" t="str">
            <v>514E00300</v>
          </cell>
          <cell r="B1117" t="str">
            <v>Y</v>
          </cell>
          <cell r="C1117" t="str">
            <v>LS</v>
          </cell>
          <cell r="D1117" t="str">
            <v>FIELD PAINTING STRUCTURAL STEEL, INTERMEDIATE COAT</v>
          </cell>
          <cell r="F1117" t="str">
            <v>ADD SUPPLEMENTAL DESCRIPTION</v>
          </cell>
          <cell r="G1117">
            <v>0</v>
          </cell>
        </row>
        <row r="1118">
          <cell r="A1118" t="str">
            <v>514E00301</v>
          </cell>
          <cell r="B1118" t="str">
            <v>Y</v>
          </cell>
          <cell r="C1118" t="str">
            <v>LS</v>
          </cell>
          <cell r="D1118" t="str">
            <v>FIELD PAINTING STRUCTURAL STEEL, INTERMEDIATE COAT, AS PER PLAN</v>
          </cell>
          <cell r="F1118" t="str">
            <v>ADD SUPPLEMENTAL DESCRIPTION</v>
          </cell>
          <cell r="G1118">
            <v>0</v>
          </cell>
        </row>
        <row r="1119">
          <cell r="A1119" t="str">
            <v>514E00400</v>
          </cell>
          <cell r="B1119" t="str">
            <v>Y</v>
          </cell>
          <cell r="C1119" t="str">
            <v>LS</v>
          </cell>
          <cell r="D1119" t="str">
            <v>FIELD PAINTING STRUCTURAL STEEL, FINISH COAT</v>
          </cell>
          <cell r="F1119" t="str">
            <v>DESIGN BUILD PROJECTS ONLY</v>
          </cell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 t="str">
            <v>CHECK UNIT OF MEASURES</v>
          </cell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 t="str">
            <v>CHECK UNIT OF MEASURE</v>
          </cell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 t="str">
            <v>CHECK UNIT OF MEASURE</v>
          </cell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 t="str">
            <v>CHECK UNIT OF MEASURE</v>
          </cell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 t="str">
            <v>CHECK UNIT OF MEASURE</v>
          </cell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 t="str">
            <v>CHECK UNIT OF MEASURE</v>
          </cell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 t="str">
            <v>CHECK UNIT OF MEASURE</v>
          </cell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 t="str">
            <v>CHECK UNIT OF MEASURE</v>
          </cell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 t="str">
            <v>CHECK UNIT OF MEASURE</v>
          </cell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 t="str">
            <v>CHECK UNIT OF MEASURE</v>
          </cell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 t="str">
            <v>CHECK UNIT OF MEASURE</v>
          </cell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 t="str">
            <v>CHECK UNIT OF MEASURE</v>
          </cell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 t="str">
            <v>CHECK UNIT OF MEASURE</v>
          </cell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 t="str">
            <v>CHECK UNIT OF MEASURE</v>
          </cell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 t="str">
            <v>CHECK UNIT OF MEASURE</v>
          </cell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 t="str">
            <v>CHECK UNIT OF MEASURE</v>
          </cell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 t="str">
            <v>CHECK UNIT OF MEASURE</v>
          </cell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 t="str">
            <v>Y</v>
          </cell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 t="str">
            <v>Y</v>
          </cell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 t="str">
            <v>Y</v>
          </cell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 t="str">
            <v>Y</v>
          </cell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 t="str">
            <v>Y</v>
          </cell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 t="str">
            <v>Y</v>
          </cell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 t="str">
            <v>ADD SUPPLEMENTAL DESCRIPTION</v>
          </cell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 t="str">
            <v>ADD SUPPLEMENTAL DESCRIPTION</v>
          </cell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 t="str">
            <v>ADD SUPPLEMENTAL DESCRIPTION</v>
          </cell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 t="str">
            <v>Y</v>
          </cell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 t="str">
            <v>SPECIFY THICKNESS</v>
          </cell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 t="str">
            <v>Y</v>
          </cell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 t="str">
            <v>Y</v>
          </cell>
          <cell r="C1328" t="str">
            <v>EACH</v>
          </cell>
          <cell r="D1328" t="str">
            <v>BEARING DEVICE, BOLSTER</v>
          </cell>
          <cell r="F1328" t="str">
            <v>SPECIFY WIDTH</v>
          </cell>
          <cell r="G1328">
            <v>0</v>
          </cell>
        </row>
        <row r="1329">
          <cell r="A1329" t="str">
            <v>516E46001</v>
          </cell>
          <cell r="B1329" t="str">
            <v>Y</v>
          </cell>
          <cell r="C1329" t="str">
            <v>EACH</v>
          </cell>
          <cell r="D1329" t="str">
            <v>BEARING DEVICE, BOLSTER, AS PER PLAN</v>
          </cell>
          <cell r="F1329" t="str">
            <v>SPECIFY WIDTH</v>
          </cell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 t="str">
            <v>ADD SUPPLEMENTAL DESCRIPTION</v>
          </cell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 t="str">
            <v>ADD SUPPLEMENTAL DESCRIPTION</v>
          </cell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 t="str">
            <v>ADD SUPPLEMENTAL DESCRIPTION</v>
          </cell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 t="str">
            <v>ADD SUPPLEMENTAL DESCRIPTION</v>
          </cell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 t="str">
            <v>Y</v>
          </cell>
          <cell r="C1342" t="str">
            <v>LS</v>
          </cell>
          <cell r="D1342" t="str">
            <v>JACKING AND TEMPORARY SUPPORT OF SUPERSTRUCTURE, AS PER PLAN</v>
          </cell>
          <cell r="F1342" t="str">
            <v>STRUCTURE ITEM ONLY</v>
          </cell>
          <cell r="G1342">
            <v>0</v>
          </cell>
        </row>
        <row r="1343">
          <cell r="A1343" t="str">
            <v>517E70000</v>
          </cell>
          <cell r="B1343" t="str">
            <v>Y</v>
          </cell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 t="str">
            <v>Y</v>
          </cell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 t="str">
            <v>Y</v>
          </cell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 t="str">
            <v>Y</v>
          </cell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 t="str">
            <v>Y</v>
          </cell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 t="str">
            <v>CHECK UNIT OF MEASURE</v>
          </cell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 t="str">
            <v>CHECK UNIT OF MEASURE</v>
          </cell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 t="str">
            <v>CHECK UNIT OF MEASURE</v>
          </cell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 t="str">
            <v>CHECK UNIT OF MEASURE</v>
          </cell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 t="str">
            <v>CHECK UNIT OF MEASURE</v>
          </cell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 t="str">
            <v>CHECK UNIT OF MEASURE</v>
          </cell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 t="str">
            <v>CHECK UNIT OF MEASURE</v>
          </cell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 t="str">
            <v>CHECK UNIT OF MEASURE</v>
          </cell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 t="str">
            <v>ADD SUPPLEMENTAL DESCRIPTION</v>
          </cell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 t="str">
            <v>ADD SUPPLEMENTAL DESCRIPTION</v>
          </cell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 t="str">
            <v>&lt;2" THICK, SPECIFY DIMENSIONS</v>
          </cell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 t="str">
            <v>&lt;2" THICK, SPECIFY DIMENSIONS</v>
          </cell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 t="str">
            <v>2"-3" TK, SPECIFY DIMENSIONS</v>
          </cell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 t="str">
            <v>2"-3" TK, SPECIFY DIMENSIONS</v>
          </cell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 t="str">
            <v>3"-4" TK, SPECIFY DIMENSIONS</v>
          </cell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 t="str">
            <v>3"-4" TK, SPECIFY DIMENSIONS</v>
          </cell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 t="str">
            <v>4"-5" TK, SPECIFY DIMENSIONS</v>
          </cell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 t="str">
            <v>4"-5" TK, SPECIFY DIMENSION</v>
          </cell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 t="str">
            <v>5" &amp; OVER, SPECIFY DIMENSIONS</v>
          </cell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 t="str">
            <v>5" &amp; OVER, SPECIFY DIMENSIONS</v>
          </cell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 t="str">
            <v>&lt;2" TK, SPECIFY DIMENSIONS</v>
          </cell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 t="str">
            <v>2"-3" TK, SPECIFY DIMENSIONS</v>
          </cell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 t="str">
            <v>2"-3" TK, SPECIFY DIMENSIONS</v>
          </cell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 t="str">
            <v>3"-4" TK, SPECIFY DIMENSIONS</v>
          </cell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 t="str">
            <v>3"-4" TK, SPECIFY DIMENSIONS</v>
          </cell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 t="str">
            <v>4"-5" TK, SPECIFY DIMENSIONS</v>
          </cell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 t="str">
            <v>4"-5" TK, SPECIFY DIMENSIONS</v>
          </cell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 t="str">
            <v>5" &amp; OVER, SPECIFY DIMENSIONS</v>
          </cell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 t="str">
            <v>5" &amp; OVER, SPECIFY DIMENSIONS</v>
          </cell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 t="str">
            <v>Y</v>
          </cell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 t="str">
            <v>Y</v>
          </cell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 t="str">
            <v>CHECK UNIT OF MEASURE</v>
          </cell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 t="str">
            <v>CHECK UNIT OF MEASURE</v>
          </cell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 t="str">
            <v>CHECK UNIT OF MEASURE</v>
          </cell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 t="str">
            <v>CHECK UNIT OF MEASURE</v>
          </cell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 t="str">
            <v>Y</v>
          </cell>
          <cell r="C1395" t="str">
            <v>FT</v>
          </cell>
          <cell r="D1395" t="str">
            <v>DEEP BEAM BRIDGE RETROFIT RAILING</v>
          </cell>
          <cell r="F1395" t="str">
            <v>(INCLUDES JACKING)</v>
          </cell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 t="str">
            <v>ADD SUPPLEMENTAL DESCRIPTION</v>
          </cell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 t="str">
            <v>ADD SUPPLEMENTAL DESCRIPTION</v>
          </cell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 t="str">
            <v>ADD SUPPLEMENTAL DESCRIPTION</v>
          </cell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 t="str">
            <v>FOR GIRDER BRIDGES</v>
          </cell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 t="str">
            <v>ADD SUPPLEMENTAL DESCRIPTION</v>
          </cell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 t="str">
            <v>CHECK UNIT OF MEASURE</v>
          </cell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 t="str">
            <v>CHECK UNIT OF MEASURE</v>
          </cell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 t="str">
            <v>CHECK UNIT OF MEASURE</v>
          </cell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 t="str">
            <v>CHECK UNIT OF MEASURE</v>
          </cell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 t="str">
            <v>CHECK UNIT OF MEASURE</v>
          </cell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 t="str">
            <v>CHECK UNIT OF MEASURE</v>
          </cell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 t="str">
            <v>CHECK UNIT OF MEASURE</v>
          </cell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 t="str">
            <v>Y</v>
          </cell>
          <cell r="C1485" t="str">
            <v>SF</v>
          </cell>
          <cell r="D1485" t="str">
            <v>PNEUMATICALLY PLACED CONCRETE SHOTCRETE</v>
          </cell>
          <cell r="F1485" t="str">
            <v>CHECK UNIT OF MEASURE</v>
          </cell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 t="str">
            <v>OTHER THAN 6"&amp;8", SPECIFY SIZE</v>
          </cell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 t="str">
            <v>SPECIFY SIZE</v>
          </cell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 t="str">
            <v>CHECK UNIT OF MEASURE</v>
          </cell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 t="str">
            <v>CHECK UNIT OF MEASURE</v>
          </cell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 t="str">
            <v>CHECK UNIT OF MEASURE</v>
          </cell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 t="str">
            <v>CHECK UNIT OF MEASURE</v>
          </cell>
          <cell r="G1519">
            <v>0</v>
          </cell>
        </row>
        <row r="1520">
          <cell r="A1520" t="str">
            <v>524E94803</v>
          </cell>
          <cell r="B1520" t="str">
            <v>Y</v>
          </cell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 t="str">
            <v>ADD SUPPLEMENTAL DESCRIPTION</v>
          </cell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 t="str">
            <v>ADD SUPPLEMENTAL DESCRIPTION</v>
          </cell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 t="str">
            <v>ADD SUPPLEMENTAL DESCRIPTION</v>
          </cell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 t="str">
            <v>ADD SUPPLEMENTAL DESCRIPTION</v>
          </cell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 t="str">
            <v>ADD SUPPLEMENTAL DESCRIPTION</v>
          </cell>
          <cell r="G1525">
            <v>0</v>
          </cell>
        </row>
        <row r="1526">
          <cell r="A1526" t="str">
            <v>524E94903</v>
          </cell>
          <cell r="B1526" t="str">
            <v>Y</v>
          </cell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 t="str">
            <v>Y</v>
          </cell>
          <cell r="C1529" t="str">
            <v>FT</v>
          </cell>
          <cell r="D1529" t="str">
            <v>DRILLED SHAFTS, 54" DIAMETER, ABOVE BEDROCK</v>
          </cell>
          <cell r="F1529" t="str">
            <v>ADD SUPPLEMENTAL DESCRIPTION</v>
          </cell>
          <cell r="G1529">
            <v>0</v>
          </cell>
        </row>
        <row r="1530">
          <cell r="A1530" t="str">
            <v>524E94907</v>
          </cell>
          <cell r="B1530" t="str">
            <v>Y</v>
          </cell>
          <cell r="C1530" t="str">
            <v>FT</v>
          </cell>
          <cell r="D1530" t="str">
            <v>DRILLED SHAFTS, 54" DIAMETER, ABOVE BEDROCK, AS PER PLAN</v>
          </cell>
          <cell r="F1530" t="str">
            <v>ADD SUPPLEMENTAL DESCRIPTION</v>
          </cell>
          <cell r="G1530">
            <v>0</v>
          </cell>
        </row>
        <row r="1531">
          <cell r="A1531" t="str">
            <v>524E94908</v>
          </cell>
          <cell r="B1531" t="str">
            <v>Y</v>
          </cell>
          <cell r="C1531" t="str">
            <v>FT</v>
          </cell>
          <cell r="D1531" t="str">
            <v>DRILLED SHAFTS, 54" DIAMETER, INTO BEDROCK</v>
          </cell>
          <cell r="F1531" t="str">
            <v>ADD SUPPLEMENTAL DESCRIPTION</v>
          </cell>
          <cell r="G1531">
            <v>0</v>
          </cell>
        </row>
        <row r="1532">
          <cell r="A1532" t="str">
            <v>524E94909</v>
          </cell>
          <cell r="B1532" t="str">
            <v>Y</v>
          </cell>
          <cell r="C1532" t="str">
            <v>FT</v>
          </cell>
          <cell r="D1532" t="str">
            <v>DRILLED SHAFTS, 54" DIAMETER, INTO BEDROCK, AS PER PLAN</v>
          </cell>
          <cell r="F1532" t="str">
            <v>ADD SUPPLEMENTAL DESCRIPTION</v>
          </cell>
          <cell r="G1532">
            <v>0</v>
          </cell>
        </row>
        <row r="1533">
          <cell r="A1533" t="str">
            <v>524E94912</v>
          </cell>
          <cell r="B1533" t="str">
            <v>Y</v>
          </cell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 t="str">
            <v>Y</v>
          </cell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 t="str">
            <v>Y</v>
          </cell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 t="str">
            <v>Y</v>
          </cell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 t="str">
            <v>Y</v>
          </cell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 t="str">
            <v>Y</v>
          </cell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 t="str">
            <v>Y</v>
          </cell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 t="str">
            <v>Y</v>
          </cell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 t="str">
            <v>Y</v>
          </cell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 t="str">
            <v>Y</v>
          </cell>
          <cell r="C1542" t="str">
            <v>FT</v>
          </cell>
          <cell r="D1542" t="str">
            <v>DRILLED SHAFTS, 66" DIAMETER, INTO BEDROCK, AS PER PLAN</v>
          </cell>
          <cell r="F1542" t="str">
            <v>ADD SUPPLEMENTAL DESCRIPTION</v>
          </cell>
          <cell r="G1542">
            <v>0</v>
          </cell>
        </row>
        <row r="1543">
          <cell r="A1543" t="str">
            <v>524E94946</v>
          </cell>
          <cell r="B1543" t="str">
            <v>Y</v>
          </cell>
          <cell r="C1543" t="str">
            <v>FT</v>
          </cell>
          <cell r="D1543" t="str">
            <v>DRILLED SHAFTS, 72" DIAMETER, ABOVE BEDROCK</v>
          </cell>
          <cell r="F1543" t="str">
            <v>ADD SUPPLEMENTAL DESCRIPTION</v>
          </cell>
          <cell r="G1543">
            <v>0</v>
          </cell>
        </row>
        <row r="1544">
          <cell r="A1544" t="str">
            <v>524E94947</v>
          </cell>
          <cell r="B1544" t="str">
            <v>Y</v>
          </cell>
          <cell r="C1544" t="str">
            <v>FT</v>
          </cell>
          <cell r="D1544" t="str">
            <v>DRILLED SHAFTS, 72" DIAMETER, ABOVE BEDROCK, AS PER PLAN</v>
          </cell>
          <cell r="F1544" t="str">
            <v>ADD SUPPLEMENTAL DESCRIPTION</v>
          </cell>
          <cell r="G1544">
            <v>0</v>
          </cell>
        </row>
        <row r="1545">
          <cell r="A1545" t="str">
            <v>524E94950</v>
          </cell>
          <cell r="B1545" t="str">
            <v>Y</v>
          </cell>
          <cell r="C1545" t="str">
            <v>FT</v>
          </cell>
          <cell r="D1545" t="str">
            <v>DRILLED SHAFTS, 72" DIAMETER, INTO BEDROCK</v>
          </cell>
          <cell r="F1545" t="str">
            <v>DESIGN BUILD PROJECTS ONLY</v>
          </cell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 t="str">
            <v>CHECK UNIT OF MEASURE</v>
          </cell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 t="str">
            <v>CHECK UNIT OF MEASURE</v>
          </cell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 t="str">
            <v>ADD SUPPLEMENTAL DESCRIPTION</v>
          </cell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 t="str">
            <v>SPECIFY DIMENSIONS</v>
          </cell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 t="str">
            <v>ADD SUPPLEMENTAL DESCRIPTION</v>
          </cell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 t="str">
            <v>ADD SUPPLEMENTAL DESCRIPTION</v>
          </cell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 t="str">
            <v>ADD SUPPLEMENTAL DESCRIPTION</v>
          </cell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 t="str">
            <v>ADD SUPPLEMENTAL DESCRIPTION</v>
          </cell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 t="str">
            <v>DESIGN BUILD PROJECTS ONLY</v>
          </cell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 t="str">
            <v>ADD SUPPLEMENTAL DESCRIPTION</v>
          </cell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 t="str">
            <v>ADD SUPPLEMENTAL DESCRIPTION</v>
          </cell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 t="str">
            <v>ADD SUPPLEMENTAL DESCRIPTION</v>
          </cell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 t="str">
            <v>ADD SUPPLEMENTAL DESCRIPTION</v>
          </cell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 t="str">
            <v>Y</v>
          </cell>
          <cell r="C1664" t="str">
            <v>SY</v>
          </cell>
          <cell r="D1664" t="str">
            <v>RIPRAP</v>
          </cell>
          <cell r="F1664" t="str">
            <v>ADD SUPPLEMENTAL DESCRIPTION</v>
          </cell>
          <cell r="G1664">
            <v>0</v>
          </cell>
        </row>
        <row r="1665">
          <cell r="A1665" t="str">
            <v>601E10001</v>
          </cell>
          <cell r="B1665" t="str">
            <v>Y</v>
          </cell>
          <cell r="C1665" t="str">
            <v>SY</v>
          </cell>
          <cell r="D1665" t="str">
            <v>RIPRAP, AS PER PLAN</v>
          </cell>
          <cell r="F1665" t="str">
            <v>ADD SUPPLEMENTAL DESCRIPTION</v>
          </cell>
          <cell r="G1665">
            <v>0</v>
          </cell>
        </row>
        <row r="1666">
          <cell r="A1666" t="str">
            <v>601E10970</v>
          </cell>
          <cell r="B1666" t="str">
            <v>Y</v>
          </cell>
          <cell r="C1666" t="str">
            <v>SY</v>
          </cell>
          <cell r="D1666" t="str">
            <v>RIPRAP, TYPE A</v>
          </cell>
          <cell r="F1666" t="str">
            <v>ADD SUPPLEMENTAL DESCRIPTION</v>
          </cell>
          <cell r="G1666">
            <v>0</v>
          </cell>
        </row>
        <row r="1667">
          <cell r="A1667" t="str">
            <v>601E10971</v>
          </cell>
          <cell r="B1667" t="str">
            <v>Y</v>
          </cell>
          <cell r="C1667" t="str">
            <v>SY</v>
          </cell>
          <cell r="D1667" t="str">
            <v>RIPRAP, TYPE A, AS PER PLAN</v>
          </cell>
          <cell r="F1667" t="str">
            <v>ADD SUPPLEMENTAL DESCRIPTION</v>
          </cell>
          <cell r="G1667">
            <v>0</v>
          </cell>
        </row>
        <row r="1668">
          <cell r="A1668" t="str">
            <v>601E10980</v>
          </cell>
          <cell r="B1668" t="str">
            <v>Y</v>
          </cell>
          <cell r="C1668" t="str">
            <v>SY</v>
          </cell>
          <cell r="D1668" t="str">
            <v>RIPRAP, TYPE B</v>
          </cell>
          <cell r="F1668" t="str">
            <v>ADD SUPPLEMENTAL DESCRIPTION</v>
          </cell>
          <cell r="G1668">
            <v>0</v>
          </cell>
        </row>
        <row r="1669">
          <cell r="A1669" t="str">
            <v>601E10981</v>
          </cell>
          <cell r="B1669" t="str">
            <v>Y</v>
          </cell>
          <cell r="C1669" t="str">
            <v>SY</v>
          </cell>
          <cell r="D1669" t="str">
            <v>RIPRAP, TYPE B, AS PER PLAN</v>
          </cell>
          <cell r="F1669" t="str">
            <v>ADD SUPPLEMENTAL DESCRIPTION</v>
          </cell>
          <cell r="G1669">
            <v>0</v>
          </cell>
        </row>
        <row r="1670">
          <cell r="A1670" t="str">
            <v>601E10990</v>
          </cell>
          <cell r="B1670" t="str">
            <v>Y</v>
          </cell>
          <cell r="C1670" t="str">
            <v>SY</v>
          </cell>
          <cell r="D1670" t="str">
            <v>RIPRAP, TYPE C</v>
          </cell>
          <cell r="F1670" t="str">
            <v>ADD SUPPLEMENTAL DESCRIPTION</v>
          </cell>
          <cell r="G1670">
            <v>0</v>
          </cell>
        </row>
        <row r="1671">
          <cell r="A1671" t="str">
            <v>601E10991</v>
          </cell>
          <cell r="B1671" t="str">
            <v>Y</v>
          </cell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 t="str">
            <v>Y</v>
          </cell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 t="str">
            <v>Y</v>
          </cell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 t="str">
            <v>Y</v>
          </cell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 t="str">
            <v>Y</v>
          </cell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 t="str">
            <v>Y</v>
          </cell>
          <cell r="C1676" t="str">
            <v>SY</v>
          </cell>
          <cell r="D1676" t="str">
            <v>CRUSHED AGGREGATE SLOPE PROTECTION</v>
          </cell>
          <cell r="F1676" t="str">
            <v>DESIGN BUILD PROJECTS ONLY</v>
          </cell>
          <cell r="G1676">
            <v>0</v>
          </cell>
        </row>
        <row r="1677">
          <cell r="A1677" t="str">
            <v>601E20001</v>
          </cell>
          <cell r="B1677" t="str">
            <v>Y</v>
          </cell>
          <cell r="C1677" t="str">
            <v>SY</v>
          </cell>
          <cell r="D1677" t="str">
            <v>CRUSHED AGGREGATE SLOPE PROTECTION, AS PER PLAN</v>
          </cell>
          <cell r="F1677" t="str">
            <v>DESIGN BUILD PROJECTS ONLY</v>
          </cell>
          <cell r="G1677">
            <v>0</v>
          </cell>
        </row>
        <row r="1678">
          <cell r="A1678" t="str">
            <v>601E20010</v>
          </cell>
          <cell r="B1678" t="str">
            <v>Y</v>
          </cell>
          <cell r="C1678" t="str">
            <v>CY</v>
          </cell>
          <cell r="D1678" t="str">
            <v>CRUSHED AGGREGATE SLOPE PROTECTION</v>
          </cell>
          <cell r="F1678" t="str">
            <v>DESIGN BUILD PROJECTS ONLY</v>
          </cell>
          <cell r="G1678">
            <v>0</v>
          </cell>
        </row>
        <row r="1679">
          <cell r="A1679" t="str">
            <v>601E20011</v>
          </cell>
          <cell r="B1679" t="str">
            <v>Y</v>
          </cell>
          <cell r="C1679" t="str">
            <v>CY</v>
          </cell>
          <cell r="D1679" t="str">
            <v>CRUSHED AGGREGATE SLOPE PROTECTION, AS PER PLAN</v>
          </cell>
          <cell r="F1679" t="str">
            <v>DESIGN BUILD PROJECTS ONLY</v>
          </cell>
          <cell r="G1679">
            <v>0</v>
          </cell>
        </row>
        <row r="1680">
          <cell r="A1680" t="str">
            <v>601E21000</v>
          </cell>
          <cell r="B1680" t="str">
            <v>Y</v>
          </cell>
          <cell r="C1680" t="str">
            <v>SY</v>
          </cell>
          <cell r="D1680" t="str">
            <v>CONCRETE SLOPE PROTECTION</v>
          </cell>
          <cell r="F1680" t="str">
            <v>DESIGN BUILD PROJECTS ONLY</v>
          </cell>
          <cell r="G1680">
            <v>0</v>
          </cell>
        </row>
        <row r="1681">
          <cell r="A1681" t="str">
            <v>601E21001</v>
          </cell>
          <cell r="B1681" t="str">
            <v>Y</v>
          </cell>
          <cell r="C1681" t="str">
            <v>SY</v>
          </cell>
          <cell r="D1681" t="str">
            <v>CONCRETE SLOPE PROTECTION, AS PER PLAN</v>
          </cell>
          <cell r="F1681" t="str">
            <v>DESIGN BUILD PROJECTS ONLY</v>
          </cell>
          <cell r="G1681">
            <v>0</v>
          </cell>
        </row>
        <row r="1682">
          <cell r="A1682" t="str">
            <v>601E21050</v>
          </cell>
          <cell r="B1682" t="str">
            <v>Y</v>
          </cell>
          <cell r="C1682" t="str">
            <v>SY</v>
          </cell>
          <cell r="D1682" t="str">
            <v>TIED CONCRETE BLOCK MAT, TYPE 1</v>
          </cell>
          <cell r="F1682" t="str">
            <v>DESIGN BUILD PROJECTS ONLY</v>
          </cell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 t="str">
            <v>ADD SUPPLEMENTAL DESCRIPTION</v>
          </cell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 t="str">
            <v>ADD SUPPLEMENTAL DESCRIPTION</v>
          </cell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 t="str">
            <v>ADD SUPPLEMENTAL DESCRIPTION</v>
          </cell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 t="str">
            <v>ADD SUPPLEMENTAL DESCRIPTION</v>
          </cell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 t="str">
            <v>SPECIFY TYPE</v>
          </cell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 t="str">
            <v>Y</v>
          </cell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 t="str">
            <v>ADD SUPPLEMENTAL DESCRIPTION</v>
          </cell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 t="str">
            <v>ADD SUPPLEMENTAL DESCRIPTION</v>
          </cell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 t="str">
            <v>ADD SUPPLEMENTAL DESCRIPTION</v>
          </cell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 t="str">
            <v>ADD SUPPLEMENTAL DESCRIPTION</v>
          </cell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 t="str">
            <v>ADD SUPPLEMENTAL DESCRIPTION</v>
          </cell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 t="str">
            <v>CHECK UNIT OF MEASURE</v>
          </cell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 t="str">
            <v>CHECK UNIT OF MEASURE</v>
          </cell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 t="str">
            <v>ADD SUPPLEMENTAL DESCRIPTION</v>
          </cell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 t="str">
            <v>ADD SUPPLEMENTAL DESCRIPTION</v>
          </cell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 t="str">
            <v>ADD SUPPLEMENTAL DESCRIPTION</v>
          </cell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 t="str">
            <v>ADD SUPPLEMENTAL DESCRIPTION</v>
          </cell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 t="str">
            <v>ADD SUPPLEMENTAL DESCRIPTION</v>
          </cell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 t="str">
            <v>Y</v>
          </cell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 t="str">
            <v>Y</v>
          </cell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 t="str">
            <v>Y</v>
          </cell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 t="str">
            <v>Y</v>
          </cell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 t="str">
            <v>Y</v>
          </cell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 t="str">
            <v>Y</v>
          </cell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 t="str">
            <v>Y</v>
          </cell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 t="str">
            <v>Y</v>
          </cell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 t="str">
            <v>Y</v>
          </cell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 t="str">
            <v>Y</v>
          </cell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 t="str">
            <v>Y</v>
          </cell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 t="str">
            <v>Y</v>
          </cell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 t="str">
            <v>Y</v>
          </cell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 t="str">
            <v>Y</v>
          </cell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 t="str">
            <v>Y</v>
          </cell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 t="str">
            <v>Y</v>
          </cell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 t="str">
            <v>Y</v>
          </cell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 t="str">
            <v>Y</v>
          </cell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 t="str">
            <v>Y</v>
          </cell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 t="str">
            <v>Y</v>
          </cell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 t="str">
            <v>Y</v>
          </cell>
          <cell r="C1867" t="str">
            <v>FT</v>
          </cell>
          <cell r="D1867" t="str">
            <v>GUARDRAIL, TYPE MGS</v>
          </cell>
          <cell r="F1867" t="str">
            <v>ADD SUPPLEMENTAL DESCRIPTION</v>
          </cell>
          <cell r="G1867">
            <v>0</v>
          </cell>
        </row>
        <row r="1868">
          <cell r="A1868" t="str">
            <v>606E15051</v>
          </cell>
          <cell r="B1868" t="str">
            <v>Y</v>
          </cell>
          <cell r="C1868" t="str">
            <v>FT</v>
          </cell>
          <cell r="D1868" t="str">
            <v>GUARDRAIL, TYPE MGS, AS PER PLAN</v>
          </cell>
          <cell r="F1868" t="str">
            <v>ADD SUPPLEMENTAL DESCRIPTION</v>
          </cell>
          <cell r="G1868">
            <v>0</v>
          </cell>
        </row>
        <row r="1869">
          <cell r="A1869" t="str">
            <v>606E15100</v>
          </cell>
          <cell r="B1869" t="str">
            <v>Y</v>
          </cell>
          <cell r="C1869" t="str">
            <v>FT</v>
          </cell>
          <cell r="D1869" t="str">
            <v>GUARDRAIL, TYPE MGS WITH LONG POSTS</v>
          </cell>
          <cell r="F1869" t="str">
            <v>ADD SUPPLEMENTAL DESCRIPTION</v>
          </cell>
          <cell r="G1869">
            <v>0</v>
          </cell>
        </row>
        <row r="1870">
          <cell r="A1870" t="str">
            <v>606E15101</v>
          </cell>
          <cell r="B1870" t="str">
            <v>Y</v>
          </cell>
          <cell r="C1870" t="str">
            <v>FT</v>
          </cell>
          <cell r="D1870" t="str">
            <v>GUARDRAIL, TYPE MGS WITH LONG POSTS, AS PER PLAN</v>
          </cell>
          <cell r="F1870" t="str">
            <v>ADD SUPPLEMENTAL DESCRIPTION</v>
          </cell>
          <cell r="G1870">
            <v>0</v>
          </cell>
        </row>
        <row r="1871">
          <cell r="A1871" t="str">
            <v>606E15150</v>
          </cell>
          <cell r="B1871" t="str">
            <v>Y</v>
          </cell>
          <cell r="C1871" t="str">
            <v>FT</v>
          </cell>
          <cell r="D1871" t="str">
            <v>GUARDRAIL, TYPE MGS HALF POST SPACING</v>
          </cell>
          <cell r="F1871" t="str">
            <v>ADD SUPPLEMENTAL DESCRIPTION</v>
          </cell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 t="str">
            <v>REQUIRES PLAN INSERT SHEET</v>
          </cell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 t="str">
            <v>OTHER THAN TYPE 5 GUARDRAIL</v>
          </cell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 t="str">
            <v>REQUIRES PLAN INSERT SHEET</v>
          </cell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 t="str">
            <v>REQUIRES PLAN INSERT SHEET</v>
          </cell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 t="str">
            <v>ITEM SUPERCEDED BY 606E35002</v>
          </cell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 t="str">
            <v>ITEM SUPERCEDED BY 606E35003</v>
          </cell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 t="str">
            <v>ITEM SUPERCEDED BY 606E35006</v>
          </cell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 t="str">
            <v>ITEM SUPERCEDED BY 606E35006</v>
          </cell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 t="str">
            <v>ITEM SUPERCEDED BY 606E35102</v>
          </cell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 t="str">
            <v>ITEM SUPERCEDED BY 606E35103</v>
          </cell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 t="str">
            <v>PLAN INSERT SHEET REQ'D</v>
          </cell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 t="str">
            <v>PLAN INSERT SHEET REQ'D</v>
          </cell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 t="str">
            <v>ITEM SUPERCEDED BY 606E35008</v>
          </cell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 t="str">
            <v>ITEM SUPERCEDED BY 606E35009</v>
          </cell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 t="str">
            <v>ITEM SUPERCEDED BY 606E35112</v>
          </cell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 t="str">
            <v>ITEM SUPERCEDED BY 606E35113</v>
          </cell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 t="str">
            <v>Y</v>
          </cell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 t="str">
            <v>SPECIFY DESIGN MPH/INCH WIDTH</v>
          </cell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 t="str">
            <v>SPECIFY DESIGN MPH/INCH WIDTH</v>
          </cell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 t="str">
            <v>ADD SUPPLEMENTAL DESCRIPTION</v>
          </cell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 t="str">
            <v>ADD SUPPLEMENTAL DESCRIPTION</v>
          </cell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 t="str">
            <v>ADD SUPPLEMENTAL DESCRIPTION</v>
          </cell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 t="str">
            <v>ADD SUPPLEMENTAL DESCRIPTION</v>
          </cell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 t="str">
            <v>ADD SUPPLEMENTAL DESCRIPTION</v>
          </cell>
          <cell r="G2112">
            <v>0</v>
          </cell>
        </row>
        <row r="2113">
          <cell r="A2113" t="str">
            <v>607E35001</v>
          </cell>
          <cell r="B2113" t="str">
            <v>Y</v>
          </cell>
          <cell r="C2113" t="str">
            <v>FT</v>
          </cell>
          <cell r="D2113" t="str">
            <v>FENCE REMOVED AND REBUILT, AS PER PLAN</v>
          </cell>
          <cell r="F2113" t="str">
            <v>DESIGN BUILD PROJECTS ONLY</v>
          </cell>
          <cell r="G2113">
            <v>0</v>
          </cell>
        </row>
        <row r="2114">
          <cell r="A2114" t="str">
            <v>607E39900</v>
          </cell>
          <cell r="B2114" t="str">
            <v>Y</v>
          </cell>
          <cell r="C2114" t="str">
            <v>FT</v>
          </cell>
          <cell r="D2114" t="str">
            <v>VANDAL PROTECTION FENCE, 6' STRAIGHT, COATED FABRIC</v>
          </cell>
          <cell r="F2114" t="str">
            <v>DESIGN BUILD PROJECTS ONLY</v>
          </cell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 t="str">
            <v>ADD SUPPLEMENTAL DESCRIPTION</v>
          </cell>
          <cell r="G2115">
            <v>0</v>
          </cell>
        </row>
        <row r="2116">
          <cell r="A2116" t="str">
            <v>607E39910</v>
          </cell>
          <cell r="B2116" t="str">
            <v>Y</v>
          </cell>
          <cell r="C2116" t="str">
            <v>FT</v>
          </cell>
          <cell r="D2116" t="str">
            <v>VANDAL PROTECTION FENCE, 8' STRAIGHT, COATED FABRIC</v>
          </cell>
          <cell r="F2116" t="str">
            <v>DESIGN BUILD PROJECTS ONLY</v>
          </cell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 t="str">
            <v>SPECIFY HEIGHT, OTHER THAN 5'</v>
          </cell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 t="str">
            <v>Y</v>
          </cell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 t="str">
            <v>Y</v>
          </cell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 t="str">
            <v>ADD SUPPLEMENTAL DESCRIPTION</v>
          </cell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 t="str">
            <v>ADD SUPPLEMENTAL DESCRIPTION</v>
          </cell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 t="str">
            <v>ADD SUPPLEMENTAL DESCRIPTION</v>
          </cell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 t="str">
            <v>ADD SUPPLEMENTAL DESCRIPTION</v>
          </cell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 t="str">
            <v>ADD SUPPLEMENTAL DESCRIPTION</v>
          </cell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 t="str">
            <v>FOR USE W/NEW CURB &amp; SIDEWALK</v>
          </cell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 t="str">
            <v>FOR USE W/NEW CURB &amp; SIDEWALK</v>
          </cell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 t="str">
            <v>CHECK UNIT OF MEASURE</v>
          </cell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 t="str">
            <v>CHECK UNIT OF MEASURE</v>
          </cell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 t="str">
            <v>TO RECONST. EX. CURB &amp; SDWLK</v>
          </cell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 t="str">
            <v>TO RECONST. EX. CURB &amp; SDWL</v>
          </cell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 t="str">
            <v>FOR NEW AND RECONSTR. RAMPS</v>
          </cell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 t="str">
            <v>FOR NEW AND RECONSTR. RAMPS</v>
          </cell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 t="str">
            <v>CHECK UNIT OF MEASURE</v>
          </cell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 t="str">
            <v>Y</v>
          </cell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 t="str">
            <v>Y</v>
          </cell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 t="str">
            <v>Y</v>
          </cell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 t="str">
            <v>Y</v>
          </cell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 t="str">
            <v>Y</v>
          </cell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 t="str">
            <v>Y</v>
          </cell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 t="str">
            <v>Y</v>
          </cell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 t="str">
            <v>Y</v>
          </cell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 t="str">
            <v>IDENTIFY MATL WHEN WARRANTED</v>
          </cell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 t="str">
            <v>IDENTIFY MATL WHEN WARRANTED</v>
          </cell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 t="str">
            <v>IDENTIFY MATL WHEN WARRANTED</v>
          </cell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 t="str">
            <v>IDENTIFY MATL WHEN WARRANTED</v>
          </cell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 t="str">
            <v>IDENTIFY MATL WHEN WARRANTED</v>
          </cell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 t="str">
            <v>IDENTIFY MATL WHEN WARRANTED</v>
          </cell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 t="str">
            <v>IDENTIFY MATL WHEN WARRANTED</v>
          </cell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 t="str">
            <v>IDENTIFY MATL WHEN WARRANTED</v>
          </cell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 t="str">
            <v>IDENTIFY MATL WHEN WARRANTED</v>
          </cell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 t="str">
            <v>IDENTIFY MATL WHEN WARRANTED</v>
          </cell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 t="str">
            <v>IDENTIFY MATL WHEN WARRANTED</v>
          </cell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 t="str">
            <v>IDENTIFY MATL WHEN WARRANTED</v>
          </cell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 t="str">
            <v>IDENTIFY MATL WHEN WARRANTED</v>
          </cell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 t="str">
            <v>IDENTIFY MATL WHEN WARRANTED</v>
          </cell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 t="str">
            <v>IDENTIFY MATL WHEN WARRANTED</v>
          </cell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 t="str">
            <v>IDENTIFY MATL WHEN WARRANTED</v>
          </cell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 t="str">
            <v>IDENTIFY MATL WHEN WARRANTED</v>
          </cell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 t="str">
            <v>IDENTIFY MATL WHEN WARRANTED</v>
          </cell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 t="str">
            <v>IDENTIFY MATL WHEN WARRANTED</v>
          </cell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 t="str">
            <v>IDENTIFY MATL WHEN WARRANTED</v>
          </cell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 t="str">
            <v>IDENTIFY MATL WHEN WARRANTED</v>
          </cell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 t="str">
            <v>IDENTIFY MATL WHEN WARRANTED</v>
          </cell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 t="str">
            <v>IDENTIFY MATL WHEN WARRANTED</v>
          </cell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 t="str">
            <v>IDENTIFY MATL WHEN WARRANTED</v>
          </cell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 t="str">
            <v>IDENTIFY MATL WHEN WARRANTED</v>
          </cell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 t="str">
            <v>IDENTIFY MATL WHEN WARRANTED</v>
          </cell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 t="str">
            <v>IDENTIFY MATL WHEN WARRANTED</v>
          </cell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 t="str">
            <v>IDENTIFY MATL WHEN WARRANTED</v>
          </cell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 t="str">
            <v>IDENTIFY MATL WHEN WARRANTED</v>
          </cell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 t="str">
            <v>IDENTIFY MATL WHEN WARRANTED</v>
          </cell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 t="str">
            <v>IDENTIFY MATL WHEN WARRANTED</v>
          </cell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 t="str">
            <v>IDENTIFY MATL WHEN WARRANTED</v>
          </cell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 t="str">
            <v>IDENTIFY MATL WHEN WARRANTED</v>
          </cell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 t="str">
            <v>IDENTIFY MATL WHEN WARRANTED</v>
          </cell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 t="str">
            <v>IDENTIFY MATL WHEN WARRANTED</v>
          </cell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 t="str">
            <v>IDENTIFY MATL WHEN WARRANTED</v>
          </cell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 t="str">
            <v>IDENTIFY MATL WHEN WARRANTED</v>
          </cell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 t="str">
            <v>IDENTIFY MATL WHEN WARRANTED</v>
          </cell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 t="str">
            <v>IDENTIFY MATL WHEN WARRANTED</v>
          </cell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 t="str">
            <v>IDENTIFY MATL WHEN WARRANTED</v>
          </cell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 t="str">
            <v>IDENTIFY MATL WHEN WARRANTED</v>
          </cell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 t="str">
            <v>IDENTIFY MATL WHEN WARRANTED</v>
          </cell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 t="str">
            <v>IDENTIFY MATL WHEN WARRANTED</v>
          </cell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 t="str">
            <v>IDENTIFY MATL WHEN WARRANTED</v>
          </cell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 t="str">
            <v>IDENTIFY MATL WHEN WARRANTED</v>
          </cell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 t="str">
            <v>IDENTIFY MATL WHEN WARRANTED</v>
          </cell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 t="str">
            <v>IDENTIFY MATL WHEN WARRANTED</v>
          </cell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 t="str">
            <v>IDENTIFY MATL WHEN WARRANTED</v>
          </cell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 t="str">
            <v>IDENTIFY MATL WHEN WARRANTED</v>
          </cell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 t="str">
            <v>IDENTIFY MATL WHEN WARRANTED</v>
          </cell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 t="str">
            <v>IDENTIFY MATL WHEN WARRANTED</v>
          </cell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 t="str">
            <v>SPECIFY CONDUIT DIAMETER</v>
          </cell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 t="str">
            <v>SPECIFY SPAN X RISE</v>
          </cell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 t="str">
            <v>SPECIFY SPAN X RISE</v>
          </cell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 t="str">
            <v>SPECIFY MIN/MAX COV; SPANXRISE</v>
          </cell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 t="str">
            <v>SPECIFY MIN/MAX COV; SPANXRISE</v>
          </cell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 t="str">
            <v>SPECIFY MIN/MAX COV; SPANXRISE</v>
          </cell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 t="str">
            <v>SPECIFY MIN/MAX COV; SPANXRISE</v>
          </cell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 t="str">
            <v>SPECIFY TYPE AND SIZE</v>
          </cell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 t="str">
            <v>SPECIFY TYPE AND SIZE</v>
          </cell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 t="str">
            <v>SPECIFY TYPE AND SIZE</v>
          </cell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 t="str">
            <v>SPECIFY TYPE AND SIZE</v>
          </cell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 t="str">
            <v>SPECIFY TYPE AND SIZE</v>
          </cell>
          <cell r="G2874">
            <v>0</v>
          </cell>
        </row>
        <row r="2875">
          <cell r="A2875" t="str">
            <v>611E99111</v>
          </cell>
          <cell r="B2875" t="str">
            <v>Y</v>
          </cell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 t="str">
            <v>SPECIFY SIZE</v>
          </cell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 t="str">
            <v>SPECIFY SIZE</v>
          </cell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 t="str">
            <v>SPECIFY SIZE</v>
          </cell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 t="str">
            <v>SPECIFY SIZE</v>
          </cell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 t="str">
            <v>SPECIFY SIZE</v>
          </cell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 t="str">
            <v>SPECIFY SIZE</v>
          </cell>
          <cell r="G2881">
            <v>0</v>
          </cell>
        </row>
        <row r="2882">
          <cell r="A2882" t="str">
            <v>611E99131</v>
          </cell>
          <cell r="B2882" t="str">
            <v>Y</v>
          </cell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 t="str">
            <v>ADD SUPPLEMENTAL DESCRIPTION</v>
          </cell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 t="str">
            <v>ADD SUPPLEMENTAL DESCRIPTION</v>
          </cell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 t="str">
            <v>ADD SUPPLEMENTAL DESCRIPTION</v>
          </cell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 t="str">
            <v>ADD SUPPLEMENTAL DESCRIPTION</v>
          </cell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 t="str">
            <v>ADD SUPPLEMENTAL DESCRIPTION</v>
          </cell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 t="str">
            <v>ADD SUPPLEMENTAL DESCRIPTION</v>
          </cell>
          <cell r="G2888">
            <v>0</v>
          </cell>
        </row>
        <row r="2889">
          <cell r="A2889" t="str">
            <v>611E99161</v>
          </cell>
          <cell r="B2889" t="str">
            <v>Y</v>
          </cell>
          <cell r="C2889" t="str">
            <v>EACH</v>
          </cell>
          <cell r="D2889" t="str">
            <v>INLET FRAME AND GRATE, AS PER PLAN</v>
          </cell>
          <cell r="F2889" t="str">
            <v>DESIGN BUILD PROJECTS ONLY</v>
          </cell>
          <cell r="G2889">
            <v>0</v>
          </cell>
        </row>
        <row r="2890">
          <cell r="A2890" t="str">
            <v>611E99170</v>
          </cell>
          <cell r="B2890" t="str">
            <v>Y</v>
          </cell>
          <cell r="C2890" t="str">
            <v>EACH</v>
          </cell>
          <cell r="D2890" t="str">
            <v>BARRIER MEDIAN INLET, SINGLE SLOPE, TYPE 915A-2</v>
          </cell>
          <cell r="F2890" t="str">
            <v>FOR DESIGN BUILD PROJECTS ONLY</v>
          </cell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 t="str">
            <v>SPECIFY SUMP SIZE</v>
          </cell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 t="str">
            <v>SPECIFY SUMP SIZE</v>
          </cell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 t="str">
            <v>SPECIFY SUMP SIZE</v>
          </cell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 t="str">
            <v>SPECIFY SUMP SIZE</v>
          </cell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 t="str">
            <v>SPECIFY SUMP SIZE</v>
          </cell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 t="str">
            <v>SPECIFY SUMP SIZE</v>
          </cell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 t="str">
            <v>SPECIFY SUMP SIZE</v>
          </cell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 t="str">
            <v>SPECIFY SUMP SIZE</v>
          </cell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 t="str">
            <v>SPECIFY SUMP SIZE</v>
          </cell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 t="str">
            <v>SPECIFY SUMP SIZE</v>
          </cell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 t="str">
            <v>SPECIFY SUMP SIZE</v>
          </cell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 t="str">
            <v>SPECIFY SUMP SIZE</v>
          </cell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 t="str">
            <v>SPECIFY SUMP SIZE</v>
          </cell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 t="str">
            <v>SPECIFY SUMP SIZE</v>
          </cell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 t="str">
            <v>ADD SUPPLEMENTAL DESCRIPTION</v>
          </cell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 t="str">
            <v>ADD SUPPLEMENTAL DESCRIPTION</v>
          </cell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 t="str">
            <v>SPECIFY SUMP SIZE</v>
          </cell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 t="str">
            <v>SPECIFY SUMP SIZE</v>
          </cell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 t="str">
            <v>SPECIFY SUMP SIZE</v>
          </cell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 t="str">
            <v>SPECIFY SUMP SIZE</v>
          </cell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 t="str">
            <v>SPECIFY SUMP SIZE</v>
          </cell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 t="str">
            <v>ADD SUPPLEMENTAL DESCRIPTION</v>
          </cell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 t="str">
            <v>Y</v>
          </cell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 t="str">
            <v>Y</v>
          </cell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 t="str">
            <v>ADD SUPPLEMENTAL DESCRIPTION</v>
          </cell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 t="str">
            <v>ADD SUPPLEMENTAL DESCRIPTION</v>
          </cell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 t="str">
            <v>ADD SUPPLEMENTAL DESCRIPTION</v>
          </cell>
          <cell r="G3128">
            <v>0</v>
          </cell>
        </row>
        <row r="3129">
          <cell r="A3129" t="str">
            <v>614E27200</v>
          </cell>
          <cell r="B3129" t="str">
            <v>Y</v>
          </cell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 t="str">
            <v>Y</v>
          </cell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 t="str">
            <v>ITEM REPLACED BY 614E11630</v>
          </cell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 t="str">
            <v>ITEM REPLACED BY 614E11631</v>
          </cell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 t="str">
            <v>Y</v>
          </cell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 t="str">
            <v>Y</v>
          </cell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 t="str">
            <v>Y</v>
          </cell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 t="str">
            <v>SPECIFY INCH WIDTH</v>
          </cell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 t="str">
            <v>SPECIFY INCH WIDTH</v>
          </cell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 t="str">
            <v>TEMPORARY ONLY</v>
          </cell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 t="str">
            <v>ADD SUPPLEMENTAL DESCRIPTION</v>
          </cell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 t="str">
            <v>CHECK UNIT OF MEASURE</v>
          </cell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 t="str">
            <v>CHECK UNIT OF MEASURE</v>
          </cell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 t="str">
            <v>Y</v>
          </cell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 t="str">
            <v>Y</v>
          </cell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 t="str">
            <v>Y</v>
          </cell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 t="str">
            <v>Y</v>
          </cell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 t="str">
            <v>Y</v>
          </cell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 t="str">
            <v>ADD SUPPLEMENTAL DESCRIPTION</v>
          </cell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 t="str">
            <v>ADD SUPPLEMENTAL DESCRIPTION</v>
          </cell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 t="str">
            <v>ADD SUPPLEMENTAL DESCRIPTION</v>
          </cell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 t="str">
            <v>ADD SUPPLEMENTAL DESCRIPTION</v>
          </cell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 t="str">
            <v>ADD SUPPLEMENTAL DESCRIPTION</v>
          </cell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 t="str">
            <v>CHECK UNIT OF MEASURE</v>
          </cell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 t="str">
            <v>CHECK UNIT OF MEASURE</v>
          </cell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 t="str">
            <v>ADD SUPPLEMENTAL DESCRIPTION</v>
          </cell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 t="str">
            <v>ADD SUPPLEMENTAL DESCRIPTION</v>
          </cell>
          <cell r="G3347">
            <v>0</v>
          </cell>
        </row>
        <row r="3348">
          <cell r="A3348" t="str">
            <v>624E10001</v>
          </cell>
          <cell r="B3348" t="str">
            <v>Y</v>
          </cell>
          <cell r="C3348" t="str">
            <v>LS</v>
          </cell>
          <cell r="D3348" t="str">
            <v>MOBILIZATION, AS PER PLAN</v>
          </cell>
          <cell r="F3348" t="str">
            <v>DESIGN BUILD PROJECTS ONLY</v>
          </cell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 t="str">
            <v>Y</v>
          </cell>
          <cell r="C3357" t="str">
            <v>EACH</v>
          </cell>
          <cell r="D3357" t="str">
            <v>CONNECTION, UNFUSED PERMANENT</v>
          </cell>
          <cell r="F3357" t="str">
            <v>DESIGN BUILD PROJECTS ONLY</v>
          </cell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 t="str">
            <v>Y</v>
          </cell>
          <cell r="C3361" t="str">
            <v>EACH</v>
          </cell>
          <cell r="D3361" t="str">
            <v>TRANSFORMER BASE, TYPE AT-C</v>
          </cell>
          <cell r="F3361" t="str">
            <v>DESIGN BUILD PROJECTS ONLY</v>
          </cell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 t="str">
            <v>CHECK UNIT OF MEASURE</v>
          </cell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 t="str">
            <v>CHECK UNIT OF MEASURE</v>
          </cell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 t="str">
            <v>CHECK UNIT OF MEASURE</v>
          </cell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 t="str">
            <v>CHECK UNIT OF MEASURE</v>
          </cell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 t="str">
            <v>CHECK UNIT OF MEASURE</v>
          </cell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 t="str">
            <v>CHECK UNIT OF MEASURE</v>
          </cell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 t="str">
            <v>CHECK UNIT OF MEASURE</v>
          </cell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 t="str">
            <v>Y</v>
          </cell>
          <cell r="C3388" t="str">
            <v>EACH</v>
          </cell>
          <cell r="D3388" t="str">
            <v>LIGHT TOWER, BB80</v>
          </cell>
          <cell r="F3388" t="str">
            <v>DESIGN BUILD PROJECTS ONLY</v>
          </cell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 t="str">
            <v>ADD SUPPLEMENTAL DESCRIPTION</v>
          </cell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 t="str">
            <v>ADD SUPPLEMENTAL DESCRIPTION</v>
          </cell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 t="str">
            <v>ADD SUPPLEMENTAL DESCRIPTION</v>
          </cell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 t="str">
            <v>ADD SUPPLEMENTAL DESCRIPTION</v>
          </cell>
          <cell r="G3413">
            <v>0</v>
          </cell>
        </row>
        <row r="3414">
          <cell r="A3414" t="str">
            <v>625E13101</v>
          </cell>
          <cell r="B3414" t="str">
            <v>Y</v>
          </cell>
          <cell r="C3414" t="str">
            <v>EACH</v>
          </cell>
          <cell r="D3414" t="str">
            <v>LIGHT TOWER, BBBB90, AS PER PLAN</v>
          </cell>
          <cell r="F3414" t="str">
            <v>DESIGN BUILD PROJECTS ONLY</v>
          </cell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 t="str">
            <v>PLAN INSERT SHEET REQ'D</v>
          </cell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 t="str">
            <v>PLAN INSERT SHEET REQ'D</v>
          </cell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 t="str">
            <v>ADD SUPPLEMENTAL DESCRIPTION</v>
          </cell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 t="str">
            <v>ADD SUPPLEMENTAL DESCRIPTION</v>
          </cell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 t="str">
            <v>ADD SUPPLEMENTAL DESCRIPTION</v>
          </cell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 t="str">
            <v>ADD SUPPLEMENTAL DESCRIPTION</v>
          </cell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 t="str">
            <v>Y</v>
          </cell>
          <cell r="C3497" t="str">
            <v>EACH</v>
          </cell>
          <cell r="D3497" t="str">
            <v>BRACKET ARM, 25'</v>
          </cell>
          <cell r="F3497" t="str">
            <v>DESIGN BUILD PROJECTS ONLY</v>
          </cell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 t="str">
            <v>FOR CMS USE ONY</v>
          </cell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 t="str">
            <v>Y</v>
          </cell>
          <cell r="C3523" t="str">
            <v>FT</v>
          </cell>
          <cell r="D3523" t="str">
            <v>NO. 2 AWG 2400 VOLT DISTRIBUTION CABLE</v>
          </cell>
          <cell r="F3523" t="str">
            <v>DESIGN BUILD PROJECTS ONLY</v>
          </cell>
          <cell r="G3523">
            <v>0</v>
          </cell>
        </row>
        <row r="3524">
          <cell r="A3524" t="str">
            <v>625E23301</v>
          </cell>
          <cell r="B3524" t="str">
            <v>Y</v>
          </cell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 t="str">
            <v>Y</v>
          </cell>
          <cell r="C3529" t="str">
            <v>FT</v>
          </cell>
          <cell r="D3529" t="str">
            <v>NO. 10 AWG 600 VOLT DISTRIBUTION CABLE, AS PER PLAN</v>
          </cell>
          <cell r="F3529" t="str">
            <v>DESIGN BUILD PROJECTS ONLY</v>
          </cell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 t="str">
            <v>ADD SUPPLEMENTAL DESCRIPTION</v>
          </cell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 t="str">
            <v>ADD SUPPLEMENTAL DESCRIPTION</v>
          </cell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 t="str">
            <v>ADD SUPPLEMENTAL DESCRIPTION</v>
          </cell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 t="str">
            <v>ADD SUPPLEMENTAL DESCRIPTION</v>
          </cell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 t="str">
            <v>ADD SUPPLEMENTAL DESCRIPTION</v>
          </cell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 t="str">
            <v>ADD SUPPLEMENTAL DESCRIPTION</v>
          </cell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 t="str">
            <v>ADD SUPPLEMENTAL DESCRIPTION</v>
          </cell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 t="str">
            <v>ADD SUPPLEMENTAL DESCRIPTION</v>
          </cell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 t="str">
            <v>ADD SUPPLEMENTAL DESCRIPTION</v>
          </cell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 t="str">
            <v>ADD SUPPLEMENTAL DESCRIPTION</v>
          </cell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 t="str">
            <v>ADD SUPPLEMENTAL DESCRIPTION</v>
          </cell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 t="str">
            <v>ADD SUPPLEMENTAL DESCRIPTION</v>
          </cell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 t="str">
            <v>ADD SUPPLEMENTAL DESCRIPTION</v>
          </cell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 t="str">
            <v>ADD SUPPLEMENTAL DESCRIPTION</v>
          </cell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 t="str">
            <v>SPECIFY SIZE</v>
          </cell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 t="str">
            <v>ADD SUPPLEMENTAL DESCRIPTION</v>
          </cell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 t="str">
            <v>ADD SUPPLEMENTAL DESCRIPTION</v>
          </cell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 t="str">
            <v>ADD SUPPLEMENTAL DESCRIPTION</v>
          </cell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 t="str">
            <v>ADD SUPPLEMENTAL DESCRIPTION</v>
          </cell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 t="str">
            <v>ADD SUPPLEMENTAL DESCRIPTION</v>
          </cell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 t="str">
            <v>ADD SUPPLEMENTAL DESCRIPTION</v>
          </cell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 t="str">
            <v>ADD SUPPLEMENTAL DESCRIPTION</v>
          </cell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 t="str">
            <v>ADD SUPPLEMENTAL DESCRIPTION</v>
          </cell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 t="str">
            <v>ADD SUPPLEMENTAL DESCRIPTION</v>
          </cell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 t="str">
            <v>ADD SUPPLEMENTAL DESCRIPTION</v>
          </cell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 t="str">
            <v>ADD SUPPLEMENTAL DESCRIPTION</v>
          </cell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 t="str">
            <v>ADD SUPPLEMENTAL DESCRIPTION</v>
          </cell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 t="str">
            <v>ADD SUPPLEMENTAL DESCRIPTION</v>
          </cell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 t="str">
            <v>ADD SUPPLEMENTAL DESCRIPTION</v>
          </cell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 t="str">
            <v>ADD SUPPLEMENTAL DESCRIPTION</v>
          </cell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 t="str">
            <v>ADD SUPPLEMENTAL DESCRIPTION</v>
          </cell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 t="str">
            <v>ADD SUPPLEMENTAL DESCRIPTION</v>
          </cell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 t="str">
            <v>ADD SUPPLEMENTAL DESCRIPTION</v>
          </cell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 t="str">
            <v>ADD SUPPLEMENTAL DESCRIPTION</v>
          </cell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 t="str">
            <v>ADD SUPPLEMENTAL DESCRIPTION</v>
          </cell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 t="str">
            <v>ADD SUPPLEMENTAL DESCRIPTION</v>
          </cell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 t="str">
            <v>ADD SUPPLEMENTAL DESCRIPTION</v>
          </cell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 t="str">
            <v>ADD SUPPLEMENTAL DESCRIPTION</v>
          </cell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 t="str">
            <v>ADD SUPPLEMENTAL DESCRIPTION</v>
          </cell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 t="str">
            <v>Y</v>
          </cell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 t="str">
            <v>CHECK UNIT OF MEASURE</v>
          </cell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 t="str">
            <v>CHECK UNIT OF MEASURE</v>
          </cell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 t="str">
            <v>CHECK UNIT OF MEASURE</v>
          </cell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 t="str">
            <v>CHECK UNIT OF MEASURE</v>
          </cell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 t="str">
            <v>CHECK UNIT OF MEASURE</v>
          </cell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 t="str">
            <v>Y</v>
          </cell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 t="str">
            <v>Y</v>
          </cell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 t="str">
            <v>Y</v>
          </cell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 t="str">
            <v>Y</v>
          </cell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 t="str">
            <v>Y</v>
          </cell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 t="str">
            <v>Y</v>
          </cell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 t="str">
            <v>ADD SUPPLEMENTAL DESCRIPTION</v>
          </cell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 t="str">
            <v>ADD SUPPLEMENTAL DESCRIPTION</v>
          </cell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 t="str">
            <v>ADD SUPPLEMENTAL DESCRIPTION</v>
          </cell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 t="str">
            <v>ADD SUPPLEMENTAL DESCRIPTION</v>
          </cell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 t="str">
            <v>ADD SUPPLEMENTAL DESCRIPTION</v>
          </cell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 t="str">
            <v>ADD SUPPLEMENTAL DESCRIPTION</v>
          </cell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 t="str">
            <v>ADD SUPPLEMENTAL DESCRIPTION</v>
          </cell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 t="str">
            <v>ADD SUPPLEMENTAL DESCRIPTION</v>
          </cell>
          <cell r="G4028">
            <v>0</v>
          </cell>
        </row>
        <row r="4029">
          <cell r="A4029" t="str">
            <v>630E31400</v>
          </cell>
          <cell r="B4029" t="str">
            <v>Y</v>
          </cell>
          <cell r="C4029" t="str">
            <v>EACH</v>
          </cell>
          <cell r="D4029" t="str">
            <v>COMBINATION OVERHEAD SIGN SUPPORT, TYPE TC-9.10, DESIGN 1</v>
          </cell>
          <cell r="F4029" t="str">
            <v>DESIGN BUILD PROJECTS ONLY</v>
          </cell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 t="str">
            <v>Y</v>
          </cell>
          <cell r="C4034" t="str">
            <v>EACH</v>
          </cell>
          <cell r="D4034" t="str">
            <v>COMBINATION OVERHEAD SIGN SUPPORT, TYPE TC-9.10, DESIGN 3, AS PER PLAN</v>
          </cell>
          <cell r="F4034" t="str">
            <v>DESIGN BUILD PROJECTS ONLY</v>
          </cell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 t="str">
            <v>ADD SUPPLEMENTAL DESCRIPTION</v>
          </cell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 t="str">
            <v>ADD SUPPLEMENTAL DESCRIPTION</v>
          </cell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 t="str">
            <v>Y</v>
          </cell>
          <cell r="C4294" t="str">
            <v>EACH</v>
          </cell>
          <cell r="D4294" t="str">
            <v>REMOVAL OF OVERHEAD SIGN SUPPORT AND DELIVERY, TYPE TC-9.10</v>
          </cell>
          <cell r="F4294" t="str">
            <v>CHECK UNIT OF MEASURE</v>
          </cell>
          <cell r="G4294">
            <v>0</v>
          </cell>
        </row>
        <row r="4295">
          <cell r="A4295" t="str">
            <v>630E89833</v>
          </cell>
          <cell r="B4295" t="str">
            <v>Y</v>
          </cell>
          <cell r="C4295" t="str">
            <v>EACH</v>
          </cell>
          <cell r="D4295" t="str">
            <v>REMOVAL OF OVERHEAD SIGN SUPPORT AND DELIVERY, TYPE TC-9.10, AS PER PLAN</v>
          </cell>
          <cell r="F4295" t="str">
            <v>CHECK UNIT OF MEASURE</v>
          </cell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 t="str">
            <v>Y</v>
          </cell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 t="str">
            <v>INDICATE TYPE OF ITEM</v>
          </cell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 t="str">
            <v>ADD SUPPLEMENTAL DESCRIPTION</v>
          </cell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 t="str">
            <v>ADD SUPPLEMENTAL DESCRIPTION</v>
          </cell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 t="str">
            <v>ADD SUPPLEMENTAL DESCRIPTION</v>
          </cell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 t="str">
            <v>ADD SUPPLEMENTAL DESCRIPTION</v>
          </cell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 t="str">
            <v>ADD SUPPLEMENTAL DESCRIPTION</v>
          </cell>
          <cell r="G4501">
            <v>0</v>
          </cell>
        </row>
        <row r="4502">
          <cell r="A4502" t="str">
            <v>632E30980</v>
          </cell>
          <cell r="B4502" t="str">
            <v>Y</v>
          </cell>
          <cell r="C4502" t="str">
            <v>FT</v>
          </cell>
          <cell r="D4502" t="str">
            <v>SIGNAL CABLE, 3 CONDUCTOR, NO. 10 AWG</v>
          </cell>
          <cell r="F4502" t="str">
            <v>DESIGN BUILD PROJECTS ONLY</v>
          </cell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 t="str">
            <v>ADD SUPPLEMENTAL DESCRIPTION</v>
          </cell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 t="str">
            <v>ADD SUPPLEMENTAL DESCRIPTION</v>
          </cell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 t="str">
            <v>SPECIFY TYPE</v>
          </cell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 t="str">
            <v>ADD SUPPLEMENTAL DESCRIPTION</v>
          </cell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 t="str">
            <v>ADD SUPPLEMENTAL DESCRIPTION</v>
          </cell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 t="str">
            <v>ADD SUPPLEMENTAL DESCRIPTION</v>
          </cell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 t="str">
            <v>ADD SUPPLEMENTAL DESCRIPTION</v>
          </cell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 t="str">
            <v>ADD SUPPLEMENTAL DESCRIPTION</v>
          </cell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 t="str">
            <v>ADD SUPPLEMENTAL DESCRIPTION</v>
          </cell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 t="str">
            <v>Y</v>
          </cell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 t="str">
            <v>Y</v>
          </cell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 t="str">
            <v>Y</v>
          </cell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 t="str">
            <v>Y</v>
          </cell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 t="str">
            <v>Y</v>
          </cell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 t="str">
            <v>Y</v>
          </cell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 t="str">
            <v>Y</v>
          </cell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 t="str">
            <v>Y</v>
          </cell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 t="str">
            <v>Y</v>
          </cell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 t="str">
            <v>Y</v>
          </cell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 t="str">
            <v>Y</v>
          </cell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 t="str">
            <v>Y</v>
          </cell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 t="str">
            <v>Y</v>
          </cell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 t="str">
            <v>Y</v>
          </cell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 t="str">
            <v>Y</v>
          </cell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 t="str">
            <v>Y</v>
          </cell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 t="str">
            <v>INDICATE WATTAGE</v>
          </cell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 t="str">
            <v>ADD SUPPLEMENTAL DESCRIPTION</v>
          </cell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 t="str">
            <v>ADD SUPPLEMENTAL DESCRIPTION</v>
          </cell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 t="str">
            <v>ADD SUPPLEMENTAL DESCRIPTION</v>
          </cell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 t="str">
            <v>ADD SUPPLEMENTAL DESCRIPTION</v>
          </cell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 t="str">
            <v>ADD SUPPLEMENTAL DESCRIPTION</v>
          </cell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 t="str">
            <v>ADD SUPPLEMENTAL DESCRIPTION</v>
          </cell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 t="str">
            <v>ADD SUPPLEMENTAL DESCRIPTION</v>
          </cell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 t="str">
            <v>ADD SUPPLEMENTAL DESCRIPTION</v>
          </cell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 t="str">
            <v>ADD SUPPLEMENTAL DESCRIPTION</v>
          </cell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 t="str">
            <v>ADD SUPPLEMENTAL DESCRIPTION</v>
          </cell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 t="str">
            <v>ADD SUPPLEMENTAL DESCRIPTION</v>
          </cell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 t="str">
            <v>ADD SUPPLEMENTAL DESCRIPTION</v>
          </cell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 t="str">
            <v>ADD SUPPLEMENTAL DESCRIPTION</v>
          </cell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 t="str">
            <v>SPECIFY TYPE OF ITEM</v>
          </cell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 t="str">
            <v>ADD SUPPLEMENTAL DESCRIPTION</v>
          </cell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 t="str">
            <v>ADD SUPPLEMENTAL DESCRIPTION</v>
          </cell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 t="str">
            <v>ADD SUPPLEMENTAL DESCRIPTION</v>
          </cell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 t="str">
            <v>ADD SUPPLEMENTAL DESCRIPTION</v>
          </cell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 t="str">
            <v>ADD SUPPLEMENTAL DESCRIPTION</v>
          </cell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 t="str">
            <v>FOR TRAF.SURVEILLANCE PROJECTS</v>
          </cell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 t="str">
            <v>FOR TRAF.SURVEILLANCE PROJECTS</v>
          </cell>
          <cell r="G5338">
            <v>0</v>
          </cell>
        </row>
        <row r="5339">
          <cell r="A5339" t="str">
            <v>638E09001</v>
          </cell>
          <cell r="B5339" t="str">
            <v>Y</v>
          </cell>
          <cell r="C5339" t="str">
            <v>EACH</v>
          </cell>
          <cell r="D5339" t="str">
            <v>8" CUTTING-IN SLEEVE, VALVE AND VALVE BOX, AS PER PLAN</v>
          </cell>
          <cell r="F5339" t="str">
            <v>DESIGN BUILD PROJECTS ONLY</v>
          </cell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 t="str">
            <v>Y</v>
          </cell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 t="str">
            <v>Y</v>
          </cell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 t="str">
            <v>Y</v>
          </cell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 t="str">
            <v>Y</v>
          </cell>
          <cell r="C5879" t="str">
            <v>MILE</v>
          </cell>
          <cell r="D5879" t="str">
            <v>EDGE LINE, 4"</v>
          </cell>
          <cell r="F5879" t="str">
            <v>CLEVELAND SPECIFICATIONS</v>
          </cell>
          <cell r="G5879">
            <v>0</v>
          </cell>
        </row>
        <row r="5880">
          <cell r="A5880" t="str">
            <v>642E00091</v>
          </cell>
          <cell r="B5880" t="str">
            <v>Y</v>
          </cell>
          <cell r="C5880" t="str">
            <v>MILE</v>
          </cell>
          <cell r="D5880" t="str">
            <v>EDGE LINE, 4", AS PER PLAN</v>
          </cell>
          <cell r="F5880" t="str">
            <v>CLEVELAND SPECIFICATIONS</v>
          </cell>
          <cell r="G5880">
            <v>0</v>
          </cell>
        </row>
        <row r="5881">
          <cell r="A5881" t="str">
            <v>642E00094</v>
          </cell>
          <cell r="B5881" t="str">
            <v>Y</v>
          </cell>
          <cell r="C5881" t="str">
            <v>MILE</v>
          </cell>
          <cell r="D5881" t="str">
            <v>EDGE LINE, 6"</v>
          </cell>
          <cell r="F5881" t="str">
            <v>CLEVELAND SPECIFICATIONS</v>
          </cell>
          <cell r="G5881">
            <v>0</v>
          </cell>
        </row>
        <row r="5882">
          <cell r="A5882" t="str">
            <v>642E00100</v>
          </cell>
          <cell r="B5882" t="str">
            <v>Y</v>
          </cell>
          <cell r="C5882" t="str">
            <v>MILE</v>
          </cell>
          <cell r="D5882" t="str">
            <v>EDGE LINE, 4", TYPE 1</v>
          </cell>
          <cell r="F5882" t="str">
            <v>CLEVELAND SPECIFICATIONS</v>
          </cell>
          <cell r="G5882">
            <v>0</v>
          </cell>
        </row>
        <row r="5883">
          <cell r="A5883" t="str">
            <v>642E00101</v>
          </cell>
          <cell r="B5883" t="str">
            <v>Y</v>
          </cell>
          <cell r="C5883" t="str">
            <v>MILE</v>
          </cell>
          <cell r="D5883" t="str">
            <v>EDGE LINE, 4", TYPE 1, AS PER PLAN</v>
          </cell>
          <cell r="F5883" t="str">
            <v>CLEVELAND SPECIFICATIONS</v>
          </cell>
          <cell r="G5883">
            <v>0</v>
          </cell>
        </row>
        <row r="5884">
          <cell r="A5884" t="str">
            <v>642E00104</v>
          </cell>
          <cell r="B5884" t="str">
            <v>Y</v>
          </cell>
          <cell r="C5884" t="str">
            <v>MILE</v>
          </cell>
          <cell r="D5884" t="str">
            <v>EDGE LINE, 6", TYPE 1</v>
          </cell>
          <cell r="F5884" t="str">
            <v>CLEVELAND SPECIFICATIONS</v>
          </cell>
          <cell r="G5884">
            <v>0</v>
          </cell>
        </row>
        <row r="5885">
          <cell r="A5885" t="str">
            <v>642E00105</v>
          </cell>
          <cell r="B5885" t="str">
            <v>Y</v>
          </cell>
          <cell r="C5885" t="str">
            <v>MILE</v>
          </cell>
          <cell r="D5885" t="str">
            <v>EDGE LINE, 6", TYPE 1, AS PER PLAN</v>
          </cell>
          <cell r="F5885" t="str">
            <v>CLEVELAND SPECIFICATIONS</v>
          </cell>
          <cell r="G5885">
            <v>0</v>
          </cell>
        </row>
        <row r="5886">
          <cell r="A5886" t="str">
            <v>642E00110</v>
          </cell>
          <cell r="B5886" t="str">
            <v>Y</v>
          </cell>
          <cell r="C5886" t="str">
            <v>MILE</v>
          </cell>
          <cell r="D5886" t="str">
            <v>EDGE LINE, 4", TYPE 1A</v>
          </cell>
          <cell r="F5886" t="str">
            <v>CLEVELAND SPECIFICATIONS</v>
          </cell>
          <cell r="G5886">
            <v>0</v>
          </cell>
        </row>
        <row r="5887">
          <cell r="A5887" t="str">
            <v>642E00111</v>
          </cell>
          <cell r="B5887" t="str">
            <v>Y</v>
          </cell>
          <cell r="C5887" t="str">
            <v>MILE</v>
          </cell>
          <cell r="D5887" t="str">
            <v>EDGE LINE, 4", TYPE 1A, AS PER PLAN</v>
          </cell>
          <cell r="F5887" t="str">
            <v>CLEVELAND SPECIFICATIONS</v>
          </cell>
          <cell r="G5887">
            <v>0</v>
          </cell>
        </row>
        <row r="5888">
          <cell r="A5888" t="str">
            <v>642E00114</v>
          </cell>
          <cell r="B5888" t="str">
            <v>Y</v>
          </cell>
          <cell r="C5888" t="str">
            <v>MILE</v>
          </cell>
          <cell r="D5888" t="str">
            <v>EDGE LINE, 6", TYPE 1A</v>
          </cell>
          <cell r="F5888" t="str">
            <v>CLEVELAND SPECIFICATIONS</v>
          </cell>
          <cell r="G5888">
            <v>0</v>
          </cell>
        </row>
        <row r="5889">
          <cell r="A5889" t="str">
            <v>642E00190</v>
          </cell>
          <cell r="B5889" t="str">
            <v>Y</v>
          </cell>
          <cell r="C5889" t="str">
            <v>MILE</v>
          </cell>
          <cell r="D5889" t="str">
            <v>LANE LINE, 4"</v>
          </cell>
          <cell r="F5889" t="str">
            <v>CLEVELAND SPECIFICATIONS</v>
          </cell>
          <cell r="G5889">
            <v>0</v>
          </cell>
        </row>
        <row r="5890">
          <cell r="A5890" t="str">
            <v>642E00191</v>
          </cell>
          <cell r="B5890" t="str">
            <v>Y</v>
          </cell>
          <cell r="C5890" t="str">
            <v>MILE</v>
          </cell>
          <cell r="D5890" t="str">
            <v>LANE LINE, 4", AS PER PLAN</v>
          </cell>
          <cell r="F5890" t="str">
            <v>CLEVELAND SPECIFICATIONS</v>
          </cell>
          <cell r="G5890">
            <v>0</v>
          </cell>
        </row>
        <row r="5891">
          <cell r="A5891" t="str">
            <v>642E00194</v>
          </cell>
          <cell r="B5891" t="str">
            <v>Y</v>
          </cell>
          <cell r="C5891" t="str">
            <v>MILE</v>
          </cell>
          <cell r="D5891" t="str">
            <v>LANE LINE, 6"</v>
          </cell>
          <cell r="F5891" t="str">
            <v>CLEVELAND SPECIFICATIONS</v>
          </cell>
          <cell r="G5891">
            <v>0</v>
          </cell>
        </row>
        <row r="5892">
          <cell r="A5892" t="str">
            <v>642E00200</v>
          </cell>
          <cell r="B5892" t="str">
            <v>Y</v>
          </cell>
          <cell r="C5892" t="str">
            <v>MILE</v>
          </cell>
          <cell r="D5892" t="str">
            <v>LANE LINE, 4", TYPE 1</v>
          </cell>
          <cell r="F5892" t="str">
            <v>CLEVELAND SPECIFICATIONS</v>
          </cell>
          <cell r="G5892">
            <v>0</v>
          </cell>
        </row>
        <row r="5893">
          <cell r="A5893" t="str">
            <v>642E00201</v>
          </cell>
          <cell r="B5893" t="str">
            <v>Y</v>
          </cell>
          <cell r="C5893" t="str">
            <v>MILE</v>
          </cell>
          <cell r="D5893" t="str">
            <v>LANE LINE, 4", TYPE 1, AS PER PLAN</v>
          </cell>
          <cell r="F5893" t="str">
            <v>CLEVELAND SPECIFICATIONS</v>
          </cell>
          <cell r="G5893">
            <v>0</v>
          </cell>
        </row>
        <row r="5894">
          <cell r="A5894" t="str">
            <v>642E00204</v>
          </cell>
          <cell r="B5894" t="str">
            <v>Y</v>
          </cell>
          <cell r="C5894" t="str">
            <v>MILE</v>
          </cell>
          <cell r="D5894" t="str">
            <v>LANE LINE, 6", TYPE 1</v>
          </cell>
          <cell r="F5894" t="str">
            <v>CLEVELAND SPECIFICATIONS</v>
          </cell>
          <cell r="G5894">
            <v>0</v>
          </cell>
        </row>
        <row r="5895">
          <cell r="A5895" t="str">
            <v>642E00205</v>
          </cell>
          <cell r="B5895" t="str">
            <v>Y</v>
          </cell>
          <cell r="C5895" t="str">
            <v>MILE</v>
          </cell>
          <cell r="D5895" t="str">
            <v>LANE LINE, 6", TYPE 1, AS PER PLAN</v>
          </cell>
          <cell r="F5895" t="str">
            <v>CLEVELAND SPECIFICATIONS</v>
          </cell>
          <cell r="G5895">
            <v>0</v>
          </cell>
        </row>
        <row r="5896">
          <cell r="A5896" t="str">
            <v>642E00210</v>
          </cell>
          <cell r="B5896" t="str">
            <v>Y</v>
          </cell>
          <cell r="C5896" t="str">
            <v>MILE</v>
          </cell>
          <cell r="D5896" t="str">
            <v>LANE LINE, 4", TYPE 1A</v>
          </cell>
          <cell r="F5896" t="str">
            <v>CLEVELAND SPECIFICATIONS</v>
          </cell>
          <cell r="G5896">
            <v>0</v>
          </cell>
        </row>
        <row r="5897">
          <cell r="A5897" t="str">
            <v>642E00211</v>
          </cell>
          <cell r="B5897" t="str">
            <v>Y</v>
          </cell>
          <cell r="C5897" t="str">
            <v>MILE</v>
          </cell>
          <cell r="D5897" t="str">
            <v>LANE LINE, 4", TYPE 1A, AS PER PLAN</v>
          </cell>
          <cell r="F5897" t="str">
            <v>CLEVELAND SPECIFICATIONS</v>
          </cell>
          <cell r="G5897">
            <v>0</v>
          </cell>
        </row>
        <row r="5898">
          <cell r="A5898" t="str">
            <v>642E00214</v>
          </cell>
          <cell r="B5898" t="str">
            <v>Y</v>
          </cell>
          <cell r="C5898" t="str">
            <v>MILE</v>
          </cell>
          <cell r="D5898" t="str">
            <v>LANE LINE, 6", TYPE 1A</v>
          </cell>
          <cell r="F5898" t="str">
            <v>CLEVELAND SPECIFICATIONS</v>
          </cell>
          <cell r="G5898">
            <v>0</v>
          </cell>
        </row>
        <row r="5899">
          <cell r="A5899" t="str">
            <v>642E00290</v>
          </cell>
          <cell r="B5899" t="str">
            <v>Y</v>
          </cell>
          <cell r="C5899" t="str">
            <v>MILE</v>
          </cell>
          <cell r="D5899" t="str">
            <v>CENTER LINE</v>
          </cell>
          <cell r="F5899" t="str">
            <v>CLEVELAND SPECIFICATIONS</v>
          </cell>
          <cell r="G5899">
            <v>0</v>
          </cell>
        </row>
        <row r="5900">
          <cell r="A5900" t="str">
            <v>642E00291</v>
          </cell>
          <cell r="B5900" t="str">
            <v>Y</v>
          </cell>
          <cell r="C5900" t="str">
            <v>MILE</v>
          </cell>
          <cell r="D5900" t="str">
            <v>CENTER LINE, AS PER PLAN</v>
          </cell>
          <cell r="F5900" t="str">
            <v>CLEVELAND SPECIFICATIONS</v>
          </cell>
          <cell r="G5900">
            <v>0</v>
          </cell>
        </row>
        <row r="5901">
          <cell r="A5901" t="str">
            <v>642E00300</v>
          </cell>
          <cell r="B5901" t="str">
            <v>Y</v>
          </cell>
          <cell r="C5901" t="str">
            <v>MILE</v>
          </cell>
          <cell r="D5901" t="str">
            <v>CENTER LINE, TYPE 1</v>
          </cell>
          <cell r="F5901" t="str">
            <v>CLEVELAND SPECIFICATIONS</v>
          </cell>
          <cell r="G5901">
            <v>0</v>
          </cell>
        </row>
        <row r="5902">
          <cell r="A5902" t="str">
            <v>642E00301</v>
          </cell>
          <cell r="B5902" t="str">
            <v>Y</v>
          </cell>
          <cell r="C5902" t="str">
            <v>MILE</v>
          </cell>
          <cell r="D5902" t="str">
            <v>CENTER LINE, TYPE 1, AS PER PLAN</v>
          </cell>
          <cell r="F5902" t="str">
            <v>CLEVELAND SPECIFICATIONS</v>
          </cell>
          <cell r="G5902">
            <v>0</v>
          </cell>
        </row>
        <row r="5903">
          <cell r="A5903" t="str">
            <v>642E00310</v>
          </cell>
          <cell r="B5903" t="str">
            <v>Y</v>
          </cell>
          <cell r="C5903" t="str">
            <v>MILE</v>
          </cell>
          <cell r="D5903" t="str">
            <v>CENTER LINE, TYPE 1A</v>
          </cell>
          <cell r="F5903" t="str">
            <v>CLEVELAND SPECIFICATIONS</v>
          </cell>
          <cell r="G5903">
            <v>0</v>
          </cell>
        </row>
        <row r="5904">
          <cell r="A5904" t="str">
            <v>642E00311</v>
          </cell>
          <cell r="B5904" t="str">
            <v>Y</v>
          </cell>
          <cell r="C5904" t="str">
            <v>MILE</v>
          </cell>
          <cell r="D5904" t="str">
            <v>CENTER LINE, TYPE 1A, AS PER PLAN</v>
          </cell>
          <cell r="F5904" t="str">
            <v>CLEVELAND SPECIFICATIONS</v>
          </cell>
          <cell r="G5904">
            <v>0</v>
          </cell>
        </row>
        <row r="5905">
          <cell r="A5905" t="str">
            <v>642E00390</v>
          </cell>
          <cell r="B5905" t="str">
            <v>Y</v>
          </cell>
          <cell r="C5905" t="str">
            <v>FT</v>
          </cell>
          <cell r="D5905" t="str">
            <v>CHANNELIZING LINE, 8"</v>
          </cell>
          <cell r="F5905" t="str">
            <v>CLEVELAND SPECIFICATIONS</v>
          </cell>
          <cell r="G5905">
            <v>0</v>
          </cell>
        </row>
        <row r="5906">
          <cell r="A5906" t="str">
            <v>642E00391</v>
          </cell>
          <cell r="B5906" t="str">
            <v>Y</v>
          </cell>
          <cell r="C5906" t="str">
            <v>FT</v>
          </cell>
          <cell r="D5906" t="str">
            <v>CHANNELIZING LINE, 8", AS PER PLAN</v>
          </cell>
          <cell r="F5906" t="str">
            <v>CLEVELAND SPECIFICATIONS</v>
          </cell>
          <cell r="G5906">
            <v>0</v>
          </cell>
        </row>
        <row r="5907">
          <cell r="A5907" t="str">
            <v>642E00394</v>
          </cell>
          <cell r="B5907" t="str">
            <v>Y</v>
          </cell>
          <cell r="C5907" t="str">
            <v>FT</v>
          </cell>
          <cell r="D5907" t="str">
            <v>CHANNELIZING LINE, 12"</v>
          </cell>
          <cell r="F5907" t="str">
            <v>CLEVELAND SPECIFICATIONS</v>
          </cell>
          <cell r="G5907">
            <v>0</v>
          </cell>
        </row>
        <row r="5908">
          <cell r="A5908" t="str">
            <v>642E00400</v>
          </cell>
          <cell r="B5908" t="str">
            <v>Y</v>
          </cell>
          <cell r="C5908" t="str">
            <v>FT</v>
          </cell>
          <cell r="D5908" t="str">
            <v>CHANNELIZING LINE, 8", TYPE 1</v>
          </cell>
          <cell r="F5908" t="str">
            <v>CLEVELAND SPECIFICATIONS</v>
          </cell>
          <cell r="G5908">
            <v>0</v>
          </cell>
        </row>
        <row r="5909">
          <cell r="A5909" t="str">
            <v>642E00401</v>
          </cell>
          <cell r="B5909" t="str">
            <v>Y</v>
          </cell>
          <cell r="C5909" t="str">
            <v>FT</v>
          </cell>
          <cell r="D5909" t="str">
            <v>CHANNELIZING LINE, 8", TYPE 1, AS PER PLAN</v>
          </cell>
          <cell r="F5909" t="str">
            <v>CLEVELAND SPECIFICATIONS</v>
          </cell>
          <cell r="G5909">
            <v>0</v>
          </cell>
        </row>
        <row r="5910">
          <cell r="A5910" t="str">
            <v>642E00404</v>
          </cell>
          <cell r="B5910" t="str">
            <v>Y</v>
          </cell>
          <cell r="C5910" t="str">
            <v>FT</v>
          </cell>
          <cell r="D5910" t="str">
            <v>CHANNELIZING LINE, 12", TYPE 1</v>
          </cell>
          <cell r="F5910" t="str">
            <v>CLEVELAND SPECIFICATIONS</v>
          </cell>
          <cell r="G5910">
            <v>0</v>
          </cell>
        </row>
        <row r="5911">
          <cell r="A5911" t="str">
            <v>642E00405</v>
          </cell>
          <cell r="B5911" t="str">
            <v>Y</v>
          </cell>
          <cell r="C5911" t="str">
            <v>FT</v>
          </cell>
          <cell r="D5911" t="str">
            <v>CHANNELIZING LINE, 12", TYPE 1, AS PER PLAN</v>
          </cell>
          <cell r="F5911" t="str">
            <v>CLEVELAND SPECIFICATIONS</v>
          </cell>
          <cell r="G5911">
            <v>0</v>
          </cell>
        </row>
        <row r="5912">
          <cell r="A5912" t="str">
            <v>642E00410</v>
          </cell>
          <cell r="B5912" t="str">
            <v>Y</v>
          </cell>
          <cell r="C5912" t="str">
            <v>FT</v>
          </cell>
          <cell r="D5912" t="str">
            <v>CHANNELIZING LINE, 8", TYPE 1A</v>
          </cell>
          <cell r="F5912" t="str">
            <v>CLEVELAND SPECIFICATIONS</v>
          </cell>
          <cell r="G5912">
            <v>0</v>
          </cell>
        </row>
        <row r="5913">
          <cell r="A5913" t="str">
            <v>642E00411</v>
          </cell>
          <cell r="B5913" t="str">
            <v>Y</v>
          </cell>
          <cell r="C5913" t="str">
            <v>FT</v>
          </cell>
          <cell r="D5913" t="str">
            <v>CHANNELIZING LINE, 8", TYPE 1A, AS PER PLAN</v>
          </cell>
          <cell r="F5913" t="str">
            <v>CLEVELAND SPECIFICATIONS</v>
          </cell>
          <cell r="G5913">
            <v>0</v>
          </cell>
        </row>
        <row r="5914">
          <cell r="A5914" t="str">
            <v>642E00414</v>
          </cell>
          <cell r="B5914" t="str">
            <v>Y</v>
          </cell>
          <cell r="C5914" t="str">
            <v>FT</v>
          </cell>
          <cell r="D5914" t="str">
            <v>CHANNELIZING LINE, 12", TYPE 1A</v>
          </cell>
          <cell r="F5914" t="str">
            <v>CLEVELAND SPECIFICATONS</v>
          </cell>
          <cell r="G5914">
            <v>0</v>
          </cell>
        </row>
        <row r="5915">
          <cell r="A5915" t="str">
            <v>642E00490</v>
          </cell>
          <cell r="B5915" t="str">
            <v>Y</v>
          </cell>
          <cell r="C5915" t="str">
            <v>FT</v>
          </cell>
          <cell r="D5915" t="str">
            <v>STOP LINE</v>
          </cell>
          <cell r="F5915" t="str">
            <v>CLEVELAND SPECIFICATIONS</v>
          </cell>
          <cell r="G5915">
            <v>0</v>
          </cell>
        </row>
        <row r="5916">
          <cell r="A5916" t="str">
            <v>642E00491</v>
          </cell>
          <cell r="B5916" t="str">
            <v>Y</v>
          </cell>
          <cell r="C5916" t="str">
            <v>FT</v>
          </cell>
          <cell r="D5916" t="str">
            <v>STOP LINE, AS PER PLAN</v>
          </cell>
          <cell r="F5916" t="str">
            <v>CLEVELAND SPECIFICATIONS</v>
          </cell>
          <cell r="G5916">
            <v>0</v>
          </cell>
        </row>
        <row r="5917">
          <cell r="A5917" t="str">
            <v>642E00500</v>
          </cell>
          <cell r="B5917" t="str">
            <v>Y</v>
          </cell>
          <cell r="C5917" t="str">
            <v>FT</v>
          </cell>
          <cell r="D5917" t="str">
            <v>STOP LINE, TYPE 1</v>
          </cell>
          <cell r="F5917" t="str">
            <v>CLEVELAND SPECIFICATIONS</v>
          </cell>
          <cell r="G5917">
            <v>0</v>
          </cell>
        </row>
        <row r="5918">
          <cell r="A5918" t="str">
            <v>642E00501</v>
          </cell>
          <cell r="B5918" t="str">
            <v>Y</v>
          </cell>
          <cell r="C5918" t="str">
            <v>FT</v>
          </cell>
          <cell r="D5918" t="str">
            <v>STOP LINE, TYPE 1, AS PER PLAN</v>
          </cell>
          <cell r="F5918" t="str">
            <v>CLEVELAND SPECIFICATIONS</v>
          </cell>
          <cell r="G5918">
            <v>0</v>
          </cell>
        </row>
        <row r="5919">
          <cell r="A5919" t="str">
            <v>642E00510</v>
          </cell>
          <cell r="B5919" t="str">
            <v>Y</v>
          </cell>
          <cell r="C5919" t="str">
            <v>FT</v>
          </cell>
          <cell r="D5919" t="str">
            <v>STOP LINE, TYPE 1A</v>
          </cell>
          <cell r="F5919" t="str">
            <v>CLEVELAND SPECIFICATIONS</v>
          </cell>
          <cell r="G5919">
            <v>0</v>
          </cell>
        </row>
        <row r="5920">
          <cell r="A5920" t="str">
            <v>642E00511</v>
          </cell>
          <cell r="B5920" t="str">
            <v>Y</v>
          </cell>
          <cell r="C5920" t="str">
            <v>FT</v>
          </cell>
          <cell r="D5920" t="str">
            <v>STOP LINE, TYPE 1A, AS PER PLAN</v>
          </cell>
          <cell r="F5920" t="str">
            <v>CLEVELAND SPECIFICATIONS</v>
          </cell>
          <cell r="G5920">
            <v>0</v>
          </cell>
        </row>
        <row r="5921">
          <cell r="A5921" t="str">
            <v>642E00590</v>
          </cell>
          <cell r="B5921" t="str">
            <v>Y</v>
          </cell>
          <cell r="C5921" t="str">
            <v>FT</v>
          </cell>
          <cell r="D5921" t="str">
            <v>CROSSWALK LINE</v>
          </cell>
          <cell r="F5921" t="str">
            <v>CLEVELAND SPECIFICATIONS</v>
          </cell>
          <cell r="G5921">
            <v>0</v>
          </cell>
        </row>
        <row r="5922">
          <cell r="A5922" t="str">
            <v>642E00591</v>
          </cell>
          <cell r="B5922" t="str">
            <v>Y</v>
          </cell>
          <cell r="C5922" t="str">
            <v>FT</v>
          </cell>
          <cell r="D5922" t="str">
            <v>CROSSWALK LINE, AS PER PLAN</v>
          </cell>
          <cell r="F5922" t="str">
            <v>CLEVELAND SPECIFICATIONS</v>
          </cell>
          <cell r="G5922">
            <v>0</v>
          </cell>
        </row>
        <row r="5923">
          <cell r="A5923" t="str">
            <v>642E00600</v>
          </cell>
          <cell r="B5923" t="str">
            <v>Y</v>
          </cell>
          <cell r="C5923" t="str">
            <v>FT</v>
          </cell>
          <cell r="D5923" t="str">
            <v>CROSSWALK LINE, TYPE 1</v>
          </cell>
          <cell r="F5923" t="str">
            <v>CLEVELAND SPECIFICATIONS</v>
          </cell>
          <cell r="G5923">
            <v>0</v>
          </cell>
        </row>
        <row r="5924">
          <cell r="A5924" t="str">
            <v>642E00601</v>
          </cell>
          <cell r="B5924" t="str">
            <v>Y</v>
          </cell>
          <cell r="C5924" t="str">
            <v>FT</v>
          </cell>
          <cell r="D5924" t="str">
            <v>CROSSWALK LINE, TYPE 1, AS PER PLAN</v>
          </cell>
          <cell r="F5924" t="str">
            <v>CLEVELAND SPECIFICATIONS</v>
          </cell>
          <cell r="G5924">
            <v>0</v>
          </cell>
        </row>
        <row r="5925">
          <cell r="A5925" t="str">
            <v>642E00610</v>
          </cell>
          <cell r="B5925" t="str">
            <v>Y</v>
          </cell>
          <cell r="C5925" t="str">
            <v>FT</v>
          </cell>
          <cell r="D5925" t="str">
            <v>CROSSWALK LINE, TYPE 1A</v>
          </cell>
          <cell r="F5925" t="str">
            <v>CLEVELAND SPECIFICATIONS</v>
          </cell>
          <cell r="G5925">
            <v>0</v>
          </cell>
        </row>
        <row r="5926">
          <cell r="A5926" t="str">
            <v>642E00611</v>
          </cell>
          <cell r="B5926" t="str">
            <v>Y</v>
          </cell>
          <cell r="C5926" t="str">
            <v>FT</v>
          </cell>
          <cell r="D5926" t="str">
            <v>CROSSWALK LINE, TYPE 1A, AS PER PLAN</v>
          </cell>
          <cell r="F5926" t="str">
            <v>CLEVELAND SPECIFICATIONS</v>
          </cell>
          <cell r="G5926">
            <v>0</v>
          </cell>
        </row>
        <row r="5927">
          <cell r="A5927" t="str">
            <v>642E00690</v>
          </cell>
          <cell r="B5927" t="str">
            <v>Y</v>
          </cell>
          <cell r="C5927" t="str">
            <v>FT</v>
          </cell>
          <cell r="D5927" t="str">
            <v>TRANSVERSE/DIAGONAL LINE</v>
          </cell>
          <cell r="F5927" t="str">
            <v>CLEVELAND SPECIFICATIONS</v>
          </cell>
          <cell r="G5927">
            <v>0</v>
          </cell>
        </row>
        <row r="5928">
          <cell r="A5928" t="str">
            <v>642E00691</v>
          </cell>
          <cell r="B5928" t="str">
            <v>Y</v>
          </cell>
          <cell r="C5928" t="str">
            <v>FT</v>
          </cell>
          <cell r="D5928" t="str">
            <v>TRANSVERSE/DIAGONAL LINE, AS PER PLAN</v>
          </cell>
          <cell r="F5928" t="str">
            <v>CLEVELAND SPECIFICATIONS</v>
          </cell>
          <cell r="G5928">
            <v>0</v>
          </cell>
        </row>
        <row r="5929">
          <cell r="A5929" t="str">
            <v>642E00700</v>
          </cell>
          <cell r="B5929" t="str">
            <v>Y</v>
          </cell>
          <cell r="C5929" t="str">
            <v>FT</v>
          </cell>
          <cell r="D5929" t="str">
            <v>TRANSVERSE/DIAGONAL LINE, TYPE 1</v>
          </cell>
          <cell r="F5929" t="str">
            <v>CLEVELAND SPECIFICATIONS</v>
          </cell>
          <cell r="G5929">
            <v>0</v>
          </cell>
        </row>
        <row r="5930">
          <cell r="A5930" t="str">
            <v>642E00701</v>
          </cell>
          <cell r="B5930" t="str">
            <v>Y</v>
          </cell>
          <cell r="C5930" t="str">
            <v>FT</v>
          </cell>
          <cell r="D5930" t="str">
            <v>TRANSVERSE/DIAGONAL LINE, TYPE 1, AS PER PLAN</v>
          </cell>
          <cell r="F5930" t="str">
            <v>CLEVELAND SPECIFICATIONS</v>
          </cell>
          <cell r="G5930">
            <v>0</v>
          </cell>
        </row>
        <row r="5931">
          <cell r="A5931" t="str">
            <v>642E00710</v>
          </cell>
          <cell r="B5931" t="str">
            <v>Y</v>
          </cell>
          <cell r="C5931" t="str">
            <v>FT</v>
          </cell>
          <cell r="D5931" t="str">
            <v>TRANSVERSE/DIAGONAL LINE, TYPE 1A</v>
          </cell>
          <cell r="F5931" t="str">
            <v>CLEVELAND SPECIFICATIONS</v>
          </cell>
          <cell r="G5931">
            <v>0</v>
          </cell>
        </row>
        <row r="5932">
          <cell r="A5932" t="str">
            <v>642E00711</v>
          </cell>
          <cell r="B5932" t="str">
            <v>Y</v>
          </cell>
          <cell r="C5932" t="str">
            <v>FT</v>
          </cell>
          <cell r="D5932" t="str">
            <v>TRANSVERSE/DIAGONAL LINE, TYPE 1A, AS PER PLAN</v>
          </cell>
          <cell r="F5932" t="str">
            <v>CLEVELAND SPECIFICATIONS</v>
          </cell>
          <cell r="G5932">
            <v>0</v>
          </cell>
        </row>
        <row r="5933">
          <cell r="A5933" t="str">
            <v>642E00720</v>
          </cell>
          <cell r="B5933" t="str">
            <v>Y</v>
          </cell>
          <cell r="C5933" t="str">
            <v>FT</v>
          </cell>
          <cell r="D5933" t="str">
            <v>CHEVRON MARKING, TYPE 1</v>
          </cell>
          <cell r="F5933" t="str">
            <v>CLEVELAND SPECIFICATIONS</v>
          </cell>
          <cell r="G5933">
            <v>0</v>
          </cell>
        </row>
        <row r="5934">
          <cell r="A5934" t="str">
            <v>642E00721</v>
          </cell>
          <cell r="B5934" t="str">
            <v>Y</v>
          </cell>
          <cell r="C5934" t="str">
            <v>FT</v>
          </cell>
          <cell r="D5934" t="str">
            <v>CHEVRON MARKING, TYPE 1, AS PER PLAN</v>
          </cell>
          <cell r="F5934" t="str">
            <v>CLEVELAND SPECIFICATIONS</v>
          </cell>
          <cell r="G5934">
            <v>0</v>
          </cell>
        </row>
        <row r="5935">
          <cell r="A5935" t="str">
            <v>642E00730</v>
          </cell>
          <cell r="B5935" t="str">
            <v>Y</v>
          </cell>
          <cell r="C5935" t="str">
            <v>FT</v>
          </cell>
          <cell r="D5935" t="str">
            <v>CHEVRON MARKING, TYPE 1A</v>
          </cell>
          <cell r="F5935" t="str">
            <v>CLEVELAND SPECIFICATIONS</v>
          </cell>
          <cell r="G5935">
            <v>0</v>
          </cell>
        </row>
        <row r="5936">
          <cell r="A5936" t="str">
            <v>642E00731</v>
          </cell>
          <cell r="B5936" t="str">
            <v>Y</v>
          </cell>
          <cell r="C5936" t="str">
            <v>FT</v>
          </cell>
          <cell r="D5936" t="str">
            <v>CHEVRON MARKING, TYPE 1A, AS PER PLAN</v>
          </cell>
          <cell r="F5936" t="str">
            <v>CLEVELAND SPECIFICATIONS</v>
          </cell>
          <cell r="G5936">
            <v>0</v>
          </cell>
        </row>
        <row r="5937">
          <cell r="A5937" t="str">
            <v>642E00790</v>
          </cell>
          <cell r="B5937" t="str">
            <v>Y</v>
          </cell>
          <cell r="C5937" t="str">
            <v>FT</v>
          </cell>
          <cell r="D5937" t="str">
            <v>CURB MARKING</v>
          </cell>
          <cell r="F5937" t="str">
            <v>CLEVELAND SPECIFICATIONS</v>
          </cell>
          <cell r="G5937">
            <v>0</v>
          </cell>
        </row>
        <row r="5938">
          <cell r="A5938" t="str">
            <v>642E00800</v>
          </cell>
          <cell r="B5938" t="str">
            <v>Y</v>
          </cell>
          <cell r="C5938" t="str">
            <v>FT</v>
          </cell>
          <cell r="D5938" t="str">
            <v>CURB MARKING, TYPE 1</v>
          </cell>
          <cell r="F5938" t="str">
            <v>CLEVELAND SPECIFICATIONS</v>
          </cell>
          <cell r="G5938">
            <v>0</v>
          </cell>
        </row>
        <row r="5939">
          <cell r="A5939" t="str">
            <v>642E00810</v>
          </cell>
          <cell r="B5939" t="str">
            <v>Y</v>
          </cell>
          <cell r="C5939" t="str">
            <v>FT</v>
          </cell>
          <cell r="D5939" t="str">
            <v>CURB MARKING, TYPE 1A</v>
          </cell>
          <cell r="F5939" t="str">
            <v>CLEVELAND SPECIFICATIONS</v>
          </cell>
          <cell r="G5939">
            <v>0</v>
          </cell>
        </row>
        <row r="5940">
          <cell r="A5940" t="str">
            <v>642E00900</v>
          </cell>
          <cell r="B5940" t="str">
            <v>Y</v>
          </cell>
          <cell r="C5940" t="str">
            <v>SF</v>
          </cell>
          <cell r="D5940" t="str">
            <v>ISLAND MARKING, TYPE 1</v>
          </cell>
          <cell r="F5940" t="str">
            <v>CLEVELAND SPECIFICATIONS</v>
          </cell>
          <cell r="G5940">
            <v>0</v>
          </cell>
        </row>
        <row r="5941">
          <cell r="A5941" t="str">
            <v>642E00901</v>
          </cell>
          <cell r="B5941" t="str">
            <v>Y</v>
          </cell>
          <cell r="C5941" t="str">
            <v>SF</v>
          </cell>
          <cell r="D5941" t="str">
            <v>ISLAND MARKING, TYPE 1, AS PER PLAN</v>
          </cell>
          <cell r="F5941" t="str">
            <v>CLEVELAND SPECIFICATIONS</v>
          </cell>
          <cell r="G5941">
            <v>0</v>
          </cell>
        </row>
        <row r="5942">
          <cell r="A5942" t="str">
            <v>642E00910</v>
          </cell>
          <cell r="B5942" t="str">
            <v>Y</v>
          </cell>
          <cell r="C5942" t="str">
            <v>SF</v>
          </cell>
          <cell r="D5942" t="str">
            <v>ISLAND MARKING</v>
          </cell>
          <cell r="F5942" t="str">
            <v>CLEVELAND SPECIFICATIONS</v>
          </cell>
          <cell r="G5942">
            <v>0</v>
          </cell>
        </row>
        <row r="5943">
          <cell r="A5943" t="str">
            <v>642E00912</v>
          </cell>
          <cell r="B5943" t="str">
            <v>Y</v>
          </cell>
          <cell r="C5943" t="str">
            <v>SF</v>
          </cell>
          <cell r="D5943" t="str">
            <v>ISLAND MARKING, TYPE 1A</v>
          </cell>
          <cell r="F5943" t="str">
            <v>CLEVELAND SPECIFICATIONS</v>
          </cell>
          <cell r="G5943">
            <v>0</v>
          </cell>
        </row>
        <row r="5944">
          <cell r="A5944" t="str">
            <v>642E00913</v>
          </cell>
          <cell r="B5944" t="str">
            <v>Y</v>
          </cell>
          <cell r="C5944" t="str">
            <v>SF</v>
          </cell>
          <cell r="D5944" t="str">
            <v>ISLAND MARKING, TYPE 1A, AS PER PLAN</v>
          </cell>
          <cell r="F5944" t="str">
            <v>CLEVELAND SPECIFICATIONS</v>
          </cell>
          <cell r="G5944">
            <v>0</v>
          </cell>
        </row>
        <row r="5945">
          <cell r="A5945" t="str">
            <v>642E00990</v>
          </cell>
          <cell r="B5945" t="str">
            <v>Y</v>
          </cell>
          <cell r="C5945" t="str">
            <v>EACH</v>
          </cell>
          <cell r="D5945" t="str">
            <v>RAILROAD SYMBOL MARKING</v>
          </cell>
          <cell r="F5945" t="str">
            <v>CLEVELAND SPECIFICATIONS</v>
          </cell>
          <cell r="G5945">
            <v>0</v>
          </cell>
        </row>
        <row r="5946">
          <cell r="A5946" t="str">
            <v>642E01000</v>
          </cell>
          <cell r="B5946" t="str">
            <v>Y</v>
          </cell>
          <cell r="C5946" t="str">
            <v>EACH</v>
          </cell>
          <cell r="D5946" t="str">
            <v>RAILROAD SYMBOL MARKING, TYPE 1</v>
          </cell>
          <cell r="F5946" t="str">
            <v>CLEVELAND SPECIFICATIONS</v>
          </cell>
          <cell r="G5946">
            <v>0</v>
          </cell>
        </row>
        <row r="5947">
          <cell r="A5947" t="str">
            <v>642E01001</v>
          </cell>
          <cell r="B5947" t="str">
            <v>Y</v>
          </cell>
          <cell r="C5947" t="str">
            <v>EACH</v>
          </cell>
          <cell r="D5947" t="str">
            <v>RAILROAD SYMBOL MARKING, TYPE 1, AS PER PLAN</v>
          </cell>
          <cell r="F5947" t="str">
            <v>CLEVELAND SPECIFICATIONS</v>
          </cell>
          <cell r="G5947">
            <v>0</v>
          </cell>
        </row>
        <row r="5948">
          <cell r="A5948" t="str">
            <v>642E01010</v>
          </cell>
          <cell r="B5948" t="str">
            <v>Y</v>
          </cell>
          <cell r="C5948" t="str">
            <v>EACH</v>
          </cell>
          <cell r="D5948" t="str">
            <v>RAILROAD SYMBOL MARKING, TYPE 1A</v>
          </cell>
          <cell r="F5948" t="str">
            <v>CLEVELAND SPECIFICATIONS</v>
          </cell>
          <cell r="G5948">
            <v>0</v>
          </cell>
        </row>
        <row r="5949">
          <cell r="A5949" t="str">
            <v>642E01011</v>
          </cell>
          <cell r="B5949" t="str">
            <v>Y</v>
          </cell>
          <cell r="C5949" t="str">
            <v>EACH</v>
          </cell>
          <cell r="D5949" t="str">
            <v>RAILROAD SYMBOL MARKING, TYPE 1A, AS PER PLAN</v>
          </cell>
          <cell r="F5949" t="str">
            <v>CLEVELAND SPECIFICATIONS</v>
          </cell>
          <cell r="G5949">
            <v>0</v>
          </cell>
        </row>
        <row r="5950">
          <cell r="A5950" t="str">
            <v>642E01090</v>
          </cell>
          <cell r="B5950" t="str">
            <v>Y</v>
          </cell>
          <cell r="C5950" t="str">
            <v>EACH</v>
          </cell>
          <cell r="D5950" t="str">
            <v>SCHOOL SYMBOL MARKING, 72"</v>
          </cell>
          <cell r="F5950" t="str">
            <v>CLEVELAND SPECIFICATIONS</v>
          </cell>
          <cell r="G5950">
            <v>0</v>
          </cell>
        </row>
        <row r="5951">
          <cell r="A5951" t="str">
            <v>642E01100</v>
          </cell>
          <cell r="B5951" t="str">
            <v>Y</v>
          </cell>
          <cell r="C5951" t="str">
            <v>EACH</v>
          </cell>
          <cell r="D5951" t="str">
            <v>SCHOOL SYMBOL MARKING, 72", TYPE 1</v>
          </cell>
          <cell r="F5951" t="str">
            <v>CLEVELAND SPECIFICATIONS</v>
          </cell>
          <cell r="G5951">
            <v>0</v>
          </cell>
        </row>
        <row r="5952">
          <cell r="A5952" t="str">
            <v>642E01106</v>
          </cell>
          <cell r="B5952" t="str">
            <v>Y</v>
          </cell>
          <cell r="C5952" t="str">
            <v>EACH</v>
          </cell>
          <cell r="D5952" t="str">
            <v>SCHOOL SYMBOL MARKING, 72", TYPE 1A</v>
          </cell>
          <cell r="F5952" t="str">
            <v>CLEVELAND SPECIFICATIONS</v>
          </cell>
          <cell r="G5952">
            <v>0</v>
          </cell>
        </row>
        <row r="5953">
          <cell r="A5953" t="str">
            <v>642E01108</v>
          </cell>
          <cell r="B5953" t="str">
            <v>Y</v>
          </cell>
          <cell r="C5953" t="str">
            <v>EACH</v>
          </cell>
          <cell r="D5953" t="str">
            <v>SCHOOL SYMBOL MARKING, 96"</v>
          </cell>
          <cell r="F5953" t="str">
            <v>CLEVELAND SPECIFICATIONS</v>
          </cell>
          <cell r="G5953">
            <v>0</v>
          </cell>
        </row>
        <row r="5954">
          <cell r="A5954" t="str">
            <v>642E01110</v>
          </cell>
          <cell r="B5954" t="str">
            <v>Y</v>
          </cell>
          <cell r="C5954" t="str">
            <v>EACH</v>
          </cell>
          <cell r="D5954" t="str">
            <v>SCHOOL SYMBOL MARKING, 96", TYPE 1</v>
          </cell>
          <cell r="F5954" t="str">
            <v>CLEVELAND SPECIFICATIONS</v>
          </cell>
          <cell r="G5954">
            <v>0</v>
          </cell>
        </row>
        <row r="5955">
          <cell r="A5955" t="str">
            <v>642E01111</v>
          </cell>
          <cell r="B5955" t="str">
            <v>Y</v>
          </cell>
          <cell r="C5955" t="str">
            <v>EACH</v>
          </cell>
          <cell r="D5955" t="str">
            <v>SCHOOL SYMBOL MARKING, 96", TYPE 1, AS PER PLAN</v>
          </cell>
          <cell r="F5955" t="str">
            <v>CLEVELAND SPECIFICATIONS</v>
          </cell>
          <cell r="G5955">
            <v>0</v>
          </cell>
        </row>
        <row r="5956">
          <cell r="A5956" t="str">
            <v>642E01116</v>
          </cell>
          <cell r="B5956" t="str">
            <v>Y</v>
          </cell>
          <cell r="C5956" t="str">
            <v>EACH</v>
          </cell>
          <cell r="D5956" t="str">
            <v>SCHOOL SYMBOL MARKING, 96", TYPE 1A</v>
          </cell>
          <cell r="F5956" t="str">
            <v>CLEVELAND SPECIFICATIONS</v>
          </cell>
          <cell r="G5956">
            <v>0</v>
          </cell>
        </row>
        <row r="5957">
          <cell r="A5957" t="str">
            <v>642E01117</v>
          </cell>
          <cell r="B5957" t="str">
            <v>Y</v>
          </cell>
          <cell r="C5957" t="str">
            <v>EACH</v>
          </cell>
          <cell r="D5957" t="str">
            <v>SCHOOL SYMBOL MARKING, 96", TYPE 1A, AS PER PLAN</v>
          </cell>
          <cell r="F5957" t="str">
            <v>CLEVELAND SPECIFICATIONS</v>
          </cell>
          <cell r="G5957">
            <v>0</v>
          </cell>
        </row>
        <row r="5958">
          <cell r="A5958" t="str">
            <v>642E01120</v>
          </cell>
          <cell r="B5958" t="str">
            <v>Y</v>
          </cell>
          <cell r="C5958" t="str">
            <v>EACH</v>
          </cell>
          <cell r="D5958" t="str">
            <v>SCHOOL SYMBOL MARKING, 120"</v>
          </cell>
          <cell r="F5958" t="str">
            <v>CLEVELAND SPECIFICATIONS</v>
          </cell>
          <cell r="G5958">
            <v>0</v>
          </cell>
        </row>
        <row r="5959">
          <cell r="A5959" t="str">
            <v>642E01124</v>
          </cell>
          <cell r="B5959" t="str">
            <v>Y</v>
          </cell>
          <cell r="C5959" t="str">
            <v>EACH</v>
          </cell>
          <cell r="D5959" t="str">
            <v>SCHOOL SYMBOL MARKING, 120", TYPE 1</v>
          </cell>
          <cell r="F5959" t="str">
            <v>CLEVELAND SPECIFICATIONS</v>
          </cell>
          <cell r="G5959">
            <v>0</v>
          </cell>
        </row>
        <row r="5960">
          <cell r="A5960" t="str">
            <v>642E01125</v>
          </cell>
          <cell r="B5960" t="str">
            <v>Y</v>
          </cell>
          <cell r="C5960" t="str">
            <v>EACH</v>
          </cell>
          <cell r="D5960" t="str">
            <v>SCHOOL SYMBOL MARKING, 120", TYPE 1, AS PER PLAN</v>
          </cell>
          <cell r="F5960" t="str">
            <v>CLEVELAND SPECIFICATIONS</v>
          </cell>
          <cell r="G5960">
            <v>0</v>
          </cell>
        </row>
        <row r="5961">
          <cell r="A5961" t="str">
            <v>642E01130</v>
          </cell>
          <cell r="B5961" t="str">
            <v>Y</v>
          </cell>
          <cell r="C5961" t="str">
            <v>EACH</v>
          </cell>
          <cell r="D5961" t="str">
            <v>SCHOOL SYMBOL MARKING, 120", TYPE 1A</v>
          </cell>
          <cell r="F5961" t="str">
            <v>CLEVELAND SPECIFICATIONS</v>
          </cell>
          <cell r="G5961">
            <v>0</v>
          </cell>
        </row>
        <row r="5962">
          <cell r="A5962" t="str">
            <v>642E01131</v>
          </cell>
          <cell r="B5962" t="str">
            <v>Y</v>
          </cell>
          <cell r="C5962" t="str">
            <v>EACH</v>
          </cell>
          <cell r="D5962" t="str">
            <v>SCHOOL SYMBOL MARKING, 120", TYPE 1A, AS PER PLAN</v>
          </cell>
          <cell r="F5962" t="str">
            <v>CLEVELAND SPECIFICATIONS</v>
          </cell>
          <cell r="G5962">
            <v>0</v>
          </cell>
        </row>
        <row r="5963">
          <cell r="A5963" t="str">
            <v>642E01190</v>
          </cell>
          <cell r="B5963" t="str">
            <v>Y</v>
          </cell>
          <cell r="C5963" t="str">
            <v>FT</v>
          </cell>
          <cell r="D5963" t="str">
            <v>PARKING LOT STALL MARKING</v>
          </cell>
          <cell r="F5963" t="str">
            <v>CLEVELAND SPECIFICATIONS</v>
          </cell>
          <cell r="G5963">
            <v>0</v>
          </cell>
        </row>
        <row r="5964">
          <cell r="A5964" t="str">
            <v>642E01191</v>
          </cell>
          <cell r="B5964" t="str">
            <v>Y</v>
          </cell>
          <cell r="C5964" t="str">
            <v>FT</v>
          </cell>
          <cell r="D5964" t="str">
            <v>PARKING LOT STALL MARKING, AS PER PLAN</v>
          </cell>
          <cell r="F5964" t="str">
            <v>CLEVELAND SPECIFICATIONS</v>
          </cell>
          <cell r="G5964">
            <v>0</v>
          </cell>
        </row>
        <row r="5965">
          <cell r="A5965" t="str">
            <v>642E01200</v>
          </cell>
          <cell r="B5965" t="str">
            <v>Y</v>
          </cell>
          <cell r="C5965" t="str">
            <v>FT</v>
          </cell>
          <cell r="D5965" t="str">
            <v>PARKING LOT STALL MARKING, TYPE 1</v>
          </cell>
          <cell r="F5965" t="str">
            <v>CLEVELAND SPECIFICATIONS</v>
          </cell>
          <cell r="G5965">
            <v>0</v>
          </cell>
        </row>
        <row r="5966">
          <cell r="A5966" t="str">
            <v>642E01201</v>
          </cell>
          <cell r="B5966" t="str">
            <v>Y</v>
          </cell>
          <cell r="C5966" t="str">
            <v>FT</v>
          </cell>
          <cell r="D5966" t="str">
            <v>PARKING LOT STALL MARKING, TYPE 1, AS PER PLAN</v>
          </cell>
          <cell r="F5966" t="str">
            <v>CLEVELAND SPECIFICATIONS</v>
          </cell>
          <cell r="G5966">
            <v>0</v>
          </cell>
        </row>
        <row r="5967">
          <cell r="A5967" t="str">
            <v>642E01210</v>
          </cell>
          <cell r="B5967" t="str">
            <v>Y</v>
          </cell>
          <cell r="C5967" t="str">
            <v>FT</v>
          </cell>
          <cell r="D5967" t="str">
            <v>PARKING LOT STALL MARKING, TYPE 1A</v>
          </cell>
          <cell r="F5967" t="str">
            <v>CLEVELAND SPECIFICATIONS</v>
          </cell>
          <cell r="G5967">
            <v>0</v>
          </cell>
        </row>
        <row r="5968">
          <cell r="A5968" t="str">
            <v>642E01211</v>
          </cell>
          <cell r="B5968" t="str">
            <v>Y</v>
          </cell>
          <cell r="C5968" t="str">
            <v>FT</v>
          </cell>
          <cell r="D5968" t="str">
            <v>PARKING LOT STALL MARKING, TYPE 1, AS PER PLAN</v>
          </cell>
          <cell r="F5968" t="str">
            <v>CLEVELAND SPECIFICATIONS</v>
          </cell>
          <cell r="G5968">
            <v>0</v>
          </cell>
        </row>
        <row r="5969">
          <cell r="A5969" t="str">
            <v>642E01290</v>
          </cell>
          <cell r="B5969" t="str">
            <v>Y</v>
          </cell>
          <cell r="C5969" t="str">
            <v>EACH</v>
          </cell>
          <cell r="D5969" t="str">
            <v>LANE ARROW</v>
          </cell>
          <cell r="F5969" t="str">
            <v>CLEVELAND SPECIFICATIONS</v>
          </cell>
          <cell r="G5969">
            <v>0</v>
          </cell>
        </row>
        <row r="5970">
          <cell r="A5970" t="str">
            <v>642E01291</v>
          </cell>
          <cell r="B5970" t="str">
            <v>Y</v>
          </cell>
          <cell r="C5970" t="str">
            <v>EACH</v>
          </cell>
          <cell r="D5970" t="str">
            <v>LANE ARROW, AS PER PLAN</v>
          </cell>
          <cell r="F5970" t="str">
            <v>CLEVELAND SPECIFICATIONS</v>
          </cell>
          <cell r="G5970">
            <v>0</v>
          </cell>
        </row>
        <row r="5971">
          <cell r="A5971" t="str">
            <v>642E01300</v>
          </cell>
          <cell r="B5971" t="str">
            <v>Y</v>
          </cell>
          <cell r="C5971" t="str">
            <v>EACH</v>
          </cell>
          <cell r="D5971" t="str">
            <v>LANE ARROW, TYPE 1</v>
          </cell>
          <cell r="F5971" t="str">
            <v>CLEVELAND SPECIFICATIONS</v>
          </cell>
          <cell r="G5971">
            <v>0</v>
          </cell>
        </row>
        <row r="5972">
          <cell r="A5972" t="str">
            <v>642E01301</v>
          </cell>
          <cell r="B5972" t="str">
            <v>Y</v>
          </cell>
          <cell r="C5972" t="str">
            <v>EACH</v>
          </cell>
          <cell r="D5972" t="str">
            <v>LANE ARROW, TYPE 1, AS PER PLAN</v>
          </cell>
          <cell r="F5972" t="str">
            <v>CLEVELAND SPECIFICATIONS</v>
          </cell>
          <cell r="G5972">
            <v>0</v>
          </cell>
        </row>
        <row r="5973">
          <cell r="A5973" t="str">
            <v>642E01310</v>
          </cell>
          <cell r="B5973" t="str">
            <v>Y</v>
          </cell>
          <cell r="C5973" t="str">
            <v>EACH</v>
          </cell>
          <cell r="D5973" t="str">
            <v>LANE ARROW, TYPE 1A</v>
          </cell>
          <cell r="F5973" t="str">
            <v>CLEVELAND SPECIFICATIONS</v>
          </cell>
          <cell r="G5973">
            <v>0</v>
          </cell>
        </row>
        <row r="5974">
          <cell r="A5974" t="str">
            <v>642E01311</v>
          </cell>
          <cell r="B5974" t="str">
            <v>Y</v>
          </cell>
          <cell r="C5974" t="str">
            <v>EACH</v>
          </cell>
          <cell r="D5974" t="str">
            <v>LANE ARROW, TYPE 1A, AS PER PLAN</v>
          </cell>
          <cell r="F5974" t="str">
            <v>CLEVELAND SPECIFICATIONS</v>
          </cell>
          <cell r="G5974">
            <v>0</v>
          </cell>
        </row>
        <row r="5975">
          <cell r="A5975" t="str">
            <v>642E01312</v>
          </cell>
          <cell r="B5975" t="str">
            <v>Y</v>
          </cell>
          <cell r="C5975" t="str">
            <v>EACH</v>
          </cell>
          <cell r="D5975" t="str">
            <v>LANE REDUCTION ARROW, TYPE 1</v>
          </cell>
          <cell r="F5975" t="str">
            <v>CLEVELAND SPECIFICATIONS</v>
          </cell>
          <cell r="G5975">
            <v>0</v>
          </cell>
        </row>
        <row r="5976">
          <cell r="A5976" t="str">
            <v>642E01313</v>
          </cell>
          <cell r="B5976" t="str">
            <v>Y</v>
          </cell>
          <cell r="C5976" t="str">
            <v>EACH</v>
          </cell>
          <cell r="D5976" t="str">
            <v>LANE REDUCTION ARROW, TYPE 1, AS PER PLAN</v>
          </cell>
          <cell r="F5976" t="str">
            <v>CLEVELAND SPECIFICATIONS</v>
          </cell>
          <cell r="G5976">
            <v>0</v>
          </cell>
        </row>
        <row r="5977">
          <cell r="A5977" t="str">
            <v>642E01314</v>
          </cell>
          <cell r="B5977" t="str">
            <v>Y</v>
          </cell>
          <cell r="C5977" t="str">
            <v>EACH</v>
          </cell>
          <cell r="D5977" t="str">
            <v>LANE REDUCTION ARROW, TYPE 1A</v>
          </cell>
          <cell r="F5977" t="str">
            <v>CLEVELAND SPECIFICATIONS</v>
          </cell>
          <cell r="G5977">
            <v>0</v>
          </cell>
        </row>
        <row r="5978">
          <cell r="A5978" t="str">
            <v>642E01315</v>
          </cell>
          <cell r="B5978" t="str">
            <v>Y</v>
          </cell>
          <cell r="C5978" t="str">
            <v>EACH</v>
          </cell>
          <cell r="D5978" t="str">
            <v>LANE REDUCTION ARROW, TYPE 1A, AS PER PLAN</v>
          </cell>
          <cell r="F5978" t="str">
            <v>CLEVELAND SPECIFICATIONS</v>
          </cell>
          <cell r="G5978">
            <v>0</v>
          </cell>
        </row>
        <row r="5979">
          <cell r="A5979" t="str">
            <v>642E01320</v>
          </cell>
          <cell r="B5979" t="str">
            <v>Y</v>
          </cell>
          <cell r="C5979" t="str">
            <v>EACH</v>
          </cell>
          <cell r="D5979" t="str">
            <v>WRONG WAY ARROW</v>
          </cell>
          <cell r="F5979" t="str">
            <v>CLEVELAND SPECIFICATIONS</v>
          </cell>
          <cell r="G5979">
            <v>0</v>
          </cell>
        </row>
        <row r="5980">
          <cell r="A5980" t="str">
            <v>642E01380</v>
          </cell>
          <cell r="B5980" t="str">
            <v>Y</v>
          </cell>
          <cell r="C5980" t="str">
            <v>EACH</v>
          </cell>
          <cell r="D5980" t="str">
            <v>WORD ON PAVEMENT, 48"</v>
          </cell>
          <cell r="F5980" t="str">
            <v>CLEVELAND SPECIFICATIONS</v>
          </cell>
          <cell r="G5980">
            <v>0</v>
          </cell>
        </row>
        <row r="5981">
          <cell r="A5981" t="str">
            <v>642E01390</v>
          </cell>
          <cell r="B5981" t="str">
            <v>Y</v>
          </cell>
          <cell r="C5981" t="str">
            <v>EACH</v>
          </cell>
          <cell r="D5981" t="str">
            <v>WORD ON PAVEMENT, 72"</v>
          </cell>
          <cell r="F5981" t="str">
            <v>CLEVELAND SPECIFICATIONS</v>
          </cell>
          <cell r="G5981">
            <v>0</v>
          </cell>
        </row>
        <row r="5982">
          <cell r="A5982" t="str">
            <v>642E01391</v>
          </cell>
          <cell r="B5982" t="str">
            <v>Y</v>
          </cell>
          <cell r="C5982" t="str">
            <v>EACH</v>
          </cell>
          <cell r="D5982" t="str">
            <v>WORD ON PAVEMENT, 72", AS PER PLAN</v>
          </cell>
          <cell r="F5982" t="str">
            <v>CLEVELAND SPECIFICATIONS</v>
          </cell>
          <cell r="G5982">
            <v>0</v>
          </cell>
        </row>
        <row r="5983">
          <cell r="A5983" t="str">
            <v>642E01400</v>
          </cell>
          <cell r="B5983" t="str">
            <v>Y</v>
          </cell>
          <cell r="C5983" t="str">
            <v>EACH</v>
          </cell>
          <cell r="D5983" t="str">
            <v>WORD ON PAVEMENT, 72", TYPE 1</v>
          </cell>
          <cell r="F5983" t="str">
            <v>CLEVELAND SPECIFICATIONS</v>
          </cell>
          <cell r="G5983">
            <v>0</v>
          </cell>
        </row>
        <row r="5984">
          <cell r="A5984" t="str">
            <v>642E01401</v>
          </cell>
          <cell r="B5984" t="str">
            <v>Y</v>
          </cell>
          <cell r="C5984" t="str">
            <v>EACH</v>
          </cell>
          <cell r="D5984" t="str">
            <v>WORD ON PAVEMENT, 72", TYPE 1, AS PER PLAN</v>
          </cell>
          <cell r="F5984" t="str">
            <v>CLEVELAND SPECIFICATIONS</v>
          </cell>
          <cell r="G5984">
            <v>0</v>
          </cell>
        </row>
        <row r="5985">
          <cell r="A5985" t="str">
            <v>642E01406</v>
          </cell>
          <cell r="B5985" t="str">
            <v>Y</v>
          </cell>
          <cell r="C5985" t="str">
            <v>EACH</v>
          </cell>
          <cell r="D5985" t="str">
            <v>WORD ON PAVEMENT, 72", TYPE 1A</v>
          </cell>
          <cell r="F5985" t="str">
            <v>CLEVELAND SPECIFICATIONS</v>
          </cell>
          <cell r="G5985">
            <v>0</v>
          </cell>
        </row>
        <row r="5986">
          <cell r="A5986" t="str">
            <v>642E01407</v>
          </cell>
          <cell r="B5986" t="str">
            <v>Y</v>
          </cell>
          <cell r="C5986" t="str">
            <v>EACH</v>
          </cell>
          <cell r="D5986" t="str">
            <v>WORD ON PAVEMENT, 72", TYPE 1A, AS PER PLAN</v>
          </cell>
          <cell r="F5986" t="str">
            <v>CLEVELAND SPECIFICATIONS</v>
          </cell>
          <cell r="G5986">
            <v>0</v>
          </cell>
        </row>
        <row r="5987">
          <cell r="A5987" t="str">
            <v>642E01408</v>
          </cell>
          <cell r="B5987" t="str">
            <v>Y</v>
          </cell>
          <cell r="C5987" t="str">
            <v>EACH</v>
          </cell>
          <cell r="D5987" t="str">
            <v>WORD ON PAVEMENT, 96"</v>
          </cell>
          <cell r="F5987" t="str">
            <v>CLEVELAND SPECIFICATIONS</v>
          </cell>
          <cell r="G5987">
            <v>0</v>
          </cell>
        </row>
        <row r="5988">
          <cell r="A5988" t="str">
            <v>642E01410</v>
          </cell>
          <cell r="B5988" t="str">
            <v>Y</v>
          </cell>
          <cell r="C5988" t="str">
            <v>EACH</v>
          </cell>
          <cell r="D5988" t="str">
            <v>WORD ON PAVEMENT, 96", TYPE 1</v>
          </cell>
          <cell r="F5988" t="str">
            <v>CLEVELAND SPECIFICATIONS</v>
          </cell>
          <cell r="G5988">
            <v>0</v>
          </cell>
        </row>
        <row r="5989">
          <cell r="A5989" t="str">
            <v>642E01411</v>
          </cell>
          <cell r="B5989" t="str">
            <v>Y</v>
          </cell>
          <cell r="C5989" t="str">
            <v>EACH</v>
          </cell>
          <cell r="D5989" t="str">
            <v>WORD ON PAVEMENT, 96", TYPE 1, AS PER PLAN</v>
          </cell>
          <cell r="F5989" t="str">
            <v>CLEVELAND SPECIFICATIONS</v>
          </cell>
          <cell r="G5989">
            <v>0</v>
          </cell>
        </row>
        <row r="5990">
          <cell r="A5990" t="str">
            <v>642E01420</v>
          </cell>
          <cell r="B5990" t="str">
            <v>Y</v>
          </cell>
          <cell r="C5990" t="str">
            <v>EACH</v>
          </cell>
          <cell r="D5990" t="str">
            <v>WORD ON PAVEMENT, 96", TYPE 1A</v>
          </cell>
          <cell r="F5990" t="str">
            <v>CLEVELAND SPECIFICATIONS</v>
          </cell>
          <cell r="G5990">
            <v>0</v>
          </cell>
        </row>
        <row r="5991">
          <cell r="A5991" t="str">
            <v>642E01421</v>
          </cell>
          <cell r="B5991" t="str">
            <v>Y</v>
          </cell>
          <cell r="C5991" t="str">
            <v>EACH</v>
          </cell>
          <cell r="D5991" t="str">
            <v>WORD ON PAVEMENT, 96", TYPE 1A, AS PER PLAN</v>
          </cell>
          <cell r="F5991" t="str">
            <v>CLEVELAND SPECIFICATIONS</v>
          </cell>
          <cell r="G5991">
            <v>0</v>
          </cell>
        </row>
        <row r="5992">
          <cell r="A5992" t="str">
            <v>642E01490</v>
          </cell>
          <cell r="B5992" t="str">
            <v>Y</v>
          </cell>
          <cell r="C5992" t="str">
            <v>FT</v>
          </cell>
          <cell r="D5992" t="str">
            <v>DOTTED LINE, 4"</v>
          </cell>
          <cell r="F5992" t="str">
            <v>CLEVELAND SPECIFICATIONS</v>
          </cell>
          <cell r="G5992">
            <v>0</v>
          </cell>
        </row>
        <row r="5993">
          <cell r="A5993" t="str">
            <v>642E01491</v>
          </cell>
          <cell r="B5993" t="str">
            <v>Y</v>
          </cell>
          <cell r="C5993" t="str">
            <v>FT</v>
          </cell>
          <cell r="D5993" t="str">
            <v>DOTTED LINE, 4", AS PER PLAN</v>
          </cell>
          <cell r="F5993" t="str">
            <v>CLEVELAND SPECIFICATIONS</v>
          </cell>
          <cell r="G5993">
            <v>0</v>
          </cell>
        </row>
        <row r="5994">
          <cell r="A5994" t="str">
            <v>642E01500</v>
          </cell>
          <cell r="B5994" t="str">
            <v>Y</v>
          </cell>
          <cell r="C5994" t="str">
            <v>FT</v>
          </cell>
          <cell r="D5994" t="str">
            <v>DOTTED LINE, 4", TYPE 1</v>
          </cell>
          <cell r="F5994" t="str">
            <v>CLEVELAND SPECIFICATIONS</v>
          </cell>
          <cell r="G5994">
            <v>0</v>
          </cell>
        </row>
        <row r="5995">
          <cell r="A5995" t="str">
            <v>642E01501</v>
          </cell>
          <cell r="B5995" t="str">
            <v>Y</v>
          </cell>
          <cell r="C5995" t="str">
            <v>FT</v>
          </cell>
          <cell r="D5995" t="str">
            <v>DOTTED LINE, 4", TYPE 1, AS PER PLAN</v>
          </cell>
          <cell r="F5995" t="str">
            <v>CLEVELAND SPECIFICATIONS</v>
          </cell>
          <cell r="G5995">
            <v>0</v>
          </cell>
        </row>
        <row r="5996">
          <cell r="A5996" t="str">
            <v>642E01506</v>
          </cell>
          <cell r="B5996" t="str">
            <v>Y</v>
          </cell>
          <cell r="C5996" t="str">
            <v>FT</v>
          </cell>
          <cell r="D5996" t="str">
            <v>DOTTED LINE, 4", TYPE 1A</v>
          </cell>
          <cell r="F5996" t="str">
            <v>CLEVELAND SPECIFICATIONS</v>
          </cell>
          <cell r="G5996">
            <v>0</v>
          </cell>
        </row>
        <row r="5997">
          <cell r="A5997" t="str">
            <v>642E01507</v>
          </cell>
          <cell r="B5997" t="str">
            <v>Y</v>
          </cell>
          <cell r="C5997" t="str">
            <v>FT</v>
          </cell>
          <cell r="D5997" t="str">
            <v>DOTTED LINE, 4", TYPE 1A, AS PER PLAN</v>
          </cell>
          <cell r="F5997" t="str">
            <v>CLEVELAND SPECIFICATIONS</v>
          </cell>
          <cell r="G5997">
            <v>0</v>
          </cell>
        </row>
        <row r="5998">
          <cell r="A5998" t="str">
            <v>642E01508</v>
          </cell>
          <cell r="B5998" t="str">
            <v>Y</v>
          </cell>
          <cell r="C5998" t="str">
            <v>FT</v>
          </cell>
          <cell r="D5998" t="str">
            <v>DOTTED LINE, 6"</v>
          </cell>
          <cell r="F5998" t="str">
            <v>CLEVELAND SPECIFICATIONS</v>
          </cell>
          <cell r="G5998">
            <v>0</v>
          </cell>
        </row>
        <row r="5999">
          <cell r="A5999" t="str">
            <v>642E01509</v>
          </cell>
          <cell r="B5999" t="str">
            <v>Y</v>
          </cell>
          <cell r="C5999" t="str">
            <v>FT</v>
          </cell>
          <cell r="D5999" t="str">
            <v>DOTTED LINE, 6", AS PER PLAN</v>
          </cell>
          <cell r="F5999" t="str">
            <v>CLEVELAND SPECIFICATIONS</v>
          </cell>
          <cell r="G5999">
            <v>0</v>
          </cell>
        </row>
        <row r="6000">
          <cell r="A6000" t="str">
            <v>642E01510</v>
          </cell>
          <cell r="B6000" t="str">
            <v>Y</v>
          </cell>
          <cell r="C6000" t="str">
            <v>FT</v>
          </cell>
          <cell r="D6000" t="str">
            <v>DOTTED LINE, 6", TYPE 1</v>
          </cell>
          <cell r="F6000" t="str">
            <v>CLEVELAND SPECIFICATIONS</v>
          </cell>
          <cell r="G6000">
            <v>0</v>
          </cell>
        </row>
        <row r="6001">
          <cell r="A6001" t="str">
            <v>642E01516</v>
          </cell>
          <cell r="B6001" t="str">
            <v>Y</v>
          </cell>
          <cell r="C6001" t="str">
            <v>FT</v>
          </cell>
          <cell r="D6001" t="str">
            <v>DOTTED LINE, 6", TYPE 1A</v>
          </cell>
          <cell r="F6001" t="str">
            <v>CLEVELAND SPECIFICATIONS</v>
          </cell>
          <cell r="G6001">
            <v>0</v>
          </cell>
        </row>
        <row r="6002">
          <cell r="A6002" t="str">
            <v>642E01517</v>
          </cell>
          <cell r="B6002" t="str">
            <v>Y</v>
          </cell>
          <cell r="C6002" t="str">
            <v>FT</v>
          </cell>
          <cell r="D6002" t="str">
            <v>DOTTED LINE, 6", TYPE 1A, AS PER PLAN</v>
          </cell>
          <cell r="F6002" t="str">
            <v>CLEVELAND SPECIFICATIONS</v>
          </cell>
          <cell r="G6002">
            <v>0</v>
          </cell>
        </row>
        <row r="6003">
          <cell r="A6003" t="str">
            <v>642E01520</v>
          </cell>
          <cell r="B6003" t="str">
            <v>Y</v>
          </cell>
          <cell r="C6003" t="str">
            <v>FT</v>
          </cell>
          <cell r="D6003" t="str">
            <v>DOTTED LINE, 8"</v>
          </cell>
          <cell r="F6003" t="str">
            <v>CLEVELAND SPECIFICATIONS</v>
          </cell>
          <cell r="G6003">
            <v>0</v>
          </cell>
        </row>
        <row r="6004">
          <cell r="A6004" t="str">
            <v>642E01522</v>
          </cell>
          <cell r="B6004" t="str">
            <v>Y</v>
          </cell>
          <cell r="C6004" t="str">
            <v>FT</v>
          </cell>
          <cell r="D6004" t="str">
            <v>DOTTED LINE, 8", TYPE 1</v>
          </cell>
          <cell r="F6004" t="str">
            <v>CLEVELAND SPECIFICATIONS</v>
          </cell>
          <cell r="G6004">
            <v>0</v>
          </cell>
        </row>
        <row r="6005">
          <cell r="A6005" t="str">
            <v>642E01523</v>
          </cell>
          <cell r="B6005" t="str">
            <v>Y</v>
          </cell>
          <cell r="C6005" t="str">
            <v>FT</v>
          </cell>
          <cell r="D6005" t="str">
            <v>DOTTED LINE, 8", TYPE 1, AS PER PLAN</v>
          </cell>
          <cell r="F6005" t="str">
            <v>CLEVELAND SPECIFICATIONS</v>
          </cell>
          <cell r="G6005">
            <v>0</v>
          </cell>
        </row>
        <row r="6006">
          <cell r="A6006" t="str">
            <v>642E01530</v>
          </cell>
          <cell r="B6006" t="str">
            <v>Y</v>
          </cell>
          <cell r="C6006" t="str">
            <v>FT</v>
          </cell>
          <cell r="D6006" t="str">
            <v>DOTTED LINE, 8", TYPE 1A</v>
          </cell>
          <cell r="F6006" t="str">
            <v>CLEVELAND SPECIFICATIONS</v>
          </cell>
          <cell r="G6006">
            <v>0</v>
          </cell>
        </row>
        <row r="6007">
          <cell r="A6007" t="str">
            <v>642E01531</v>
          </cell>
          <cell r="B6007" t="str">
            <v>Y</v>
          </cell>
          <cell r="C6007" t="str">
            <v>FT</v>
          </cell>
          <cell r="D6007" t="str">
            <v>DOTTED LINE, 8", TYPE 1A, AS PER PLAN</v>
          </cell>
          <cell r="F6007" t="str">
            <v>CLEVELAND SPECIFICATIONS</v>
          </cell>
          <cell r="G6007">
            <v>0</v>
          </cell>
        </row>
        <row r="6008">
          <cell r="A6008" t="str">
            <v>642E01550</v>
          </cell>
          <cell r="B6008" t="str">
            <v>Y</v>
          </cell>
          <cell r="C6008" t="str">
            <v>FT</v>
          </cell>
          <cell r="D6008" t="str">
            <v>DOTTED LINE, 12"</v>
          </cell>
          <cell r="F6008" t="str">
            <v>CLEVELAND SPECIFICATIONS</v>
          </cell>
          <cell r="G6008">
            <v>0</v>
          </cell>
        </row>
        <row r="6009">
          <cell r="A6009" t="str">
            <v>642E01551</v>
          </cell>
          <cell r="B6009" t="str">
            <v>Y</v>
          </cell>
          <cell r="C6009" t="str">
            <v>FT</v>
          </cell>
          <cell r="D6009" t="str">
            <v>DOTTED LINE, 12", AS PER PLAN</v>
          </cell>
          <cell r="F6009" t="str">
            <v>CLEVELAND SPECIFICATIONS</v>
          </cell>
          <cell r="G6009">
            <v>0</v>
          </cell>
        </row>
        <row r="6010">
          <cell r="A6010" t="str">
            <v>642E01560</v>
          </cell>
          <cell r="B6010" t="str">
            <v>Y</v>
          </cell>
          <cell r="C6010" t="str">
            <v>FT</v>
          </cell>
          <cell r="D6010" t="str">
            <v>DOTTED LINE, 12", TYPE 1</v>
          </cell>
          <cell r="F6010" t="str">
            <v>CLEVELAND SPECIFICATIONS</v>
          </cell>
          <cell r="G6010">
            <v>0</v>
          </cell>
        </row>
        <row r="6011">
          <cell r="A6011" t="str">
            <v>642E01570</v>
          </cell>
          <cell r="B6011" t="str">
            <v>Y</v>
          </cell>
          <cell r="C6011" t="str">
            <v>FT</v>
          </cell>
          <cell r="D6011" t="str">
            <v>DOTTED LINE, 12", TYPE 1A</v>
          </cell>
          <cell r="F6011" t="str">
            <v>CLEVELAND SPECIFICATIONS</v>
          </cell>
          <cell r="G6011">
            <v>0</v>
          </cell>
        </row>
        <row r="6012">
          <cell r="A6012" t="str">
            <v>642E01600</v>
          </cell>
          <cell r="B6012" t="str">
            <v>Y</v>
          </cell>
          <cell r="C6012" t="str">
            <v>EACH</v>
          </cell>
          <cell r="D6012" t="str">
            <v>BIKE LANE SYMBOL MARKING</v>
          </cell>
          <cell r="F6012" t="str">
            <v>CLEVELAND SPECIFICATIONS</v>
          </cell>
          <cell r="G6012">
            <v>0</v>
          </cell>
        </row>
        <row r="6013">
          <cell r="A6013" t="str">
            <v>642E01602</v>
          </cell>
          <cell r="B6013" t="str">
            <v>Y</v>
          </cell>
          <cell r="C6013" t="str">
            <v>EACH</v>
          </cell>
          <cell r="D6013" t="str">
            <v>BIKE LANE SYMBOL MARKING, TYPE 1</v>
          </cell>
          <cell r="F6013" t="str">
            <v>CLEVELAND SPECIFICATIONS</v>
          </cell>
          <cell r="G6013">
            <v>0</v>
          </cell>
        </row>
        <row r="6014">
          <cell r="A6014" t="str">
            <v>642E01610</v>
          </cell>
          <cell r="B6014" t="str">
            <v>Y</v>
          </cell>
          <cell r="C6014" t="str">
            <v>EACH</v>
          </cell>
          <cell r="D6014" t="str">
            <v>BIKE LANE SYMBOL MARKING, TYPE 1A</v>
          </cell>
          <cell r="F6014" t="str">
            <v>CLEVELAND SPECIFICATIONS</v>
          </cell>
          <cell r="G6014">
            <v>0</v>
          </cell>
        </row>
        <row r="6015">
          <cell r="A6015" t="str">
            <v>642E01650</v>
          </cell>
          <cell r="B6015" t="str">
            <v>Y</v>
          </cell>
          <cell r="C6015" t="str">
            <v>EACH</v>
          </cell>
          <cell r="D6015" t="str">
            <v>BIKE LANE ARROW, TYPE 1</v>
          </cell>
          <cell r="F6015" t="str">
            <v>CLEVELAND SPECIFICATIONS</v>
          </cell>
          <cell r="G6015">
            <v>0</v>
          </cell>
        </row>
        <row r="6016">
          <cell r="A6016" t="str">
            <v>642E01700</v>
          </cell>
          <cell r="B6016" t="str">
            <v>Y</v>
          </cell>
          <cell r="C6016" t="str">
            <v>EACH</v>
          </cell>
          <cell r="D6016" t="str">
            <v>HANDICAP SYMBOL MARKING</v>
          </cell>
          <cell r="F6016" t="str">
            <v>CLEVELAND SPECIFICATIONS</v>
          </cell>
          <cell r="G6016">
            <v>0</v>
          </cell>
        </row>
        <row r="6017">
          <cell r="A6017" t="str">
            <v>642E01701</v>
          </cell>
          <cell r="B6017" t="str">
            <v>Y</v>
          </cell>
          <cell r="C6017" t="str">
            <v>EACH</v>
          </cell>
          <cell r="D6017" t="str">
            <v>HANDICAP SYMBOL MARKING, AS PER PLAN</v>
          </cell>
          <cell r="F6017" t="str">
            <v>CLEVELAND SPECIFICATIONS</v>
          </cell>
          <cell r="G6017">
            <v>0</v>
          </cell>
        </row>
        <row r="6018">
          <cell r="A6018" t="str">
            <v>642E01702</v>
          </cell>
          <cell r="B6018" t="str">
            <v>Y</v>
          </cell>
          <cell r="C6018" t="str">
            <v>EACH</v>
          </cell>
          <cell r="D6018" t="str">
            <v>HANDICAP SYMBOL MARKING, TYPE 1</v>
          </cell>
          <cell r="F6018" t="str">
            <v>CLEVELAND SPECIFICATIONS</v>
          </cell>
          <cell r="G6018">
            <v>0</v>
          </cell>
        </row>
        <row r="6019">
          <cell r="A6019" t="str">
            <v>642E01703</v>
          </cell>
          <cell r="B6019" t="str">
            <v>Y</v>
          </cell>
          <cell r="C6019" t="str">
            <v>EACH</v>
          </cell>
          <cell r="D6019" t="str">
            <v>HANDICAP SYMBOL MARKING, TYPE 1, AS PER PLAN</v>
          </cell>
          <cell r="F6019" t="str">
            <v>CLEVELAND SPECIFICATIONS</v>
          </cell>
          <cell r="G6019">
            <v>0</v>
          </cell>
        </row>
        <row r="6020">
          <cell r="A6020" t="str">
            <v>642E01710</v>
          </cell>
          <cell r="B6020" t="str">
            <v>Y</v>
          </cell>
          <cell r="C6020" t="str">
            <v>EACH</v>
          </cell>
          <cell r="D6020" t="str">
            <v>HANDICAP SYMBOL MARKING, TYPE 1A</v>
          </cell>
          <cell r="F6020" t="str">
            <v>CLEVELAND SPECIFICATIONS</v>
          </cell>
          <cell r="G6020">
            <v>0</v>
          </cell>
        </row>
        <row r="6021">
          <cell r="A6021" t="str">
            <v>642E01800</v>
          </cell>
          <cell r="B6021" t="str">
            <v>Y</v>
          </cell>
          <cell r="C6021" t="str">
            <v>EACH</v>
          </cell>
          <cell r="D6021" t="str">
            <v>PREFERENTIAL LANE MARKING</v>
          </cell>
          <cell r="F6021" t="str">
            <v>CLEVELAND SPECIFICATIONS</v>
          </cell>
          <cell r="G6021">
            <v>0</v>
          </cell>
        </row>
        <row r="6022">
          <cell r="A6022" t="str">
            <v>642E19000</v>
          </cell>
          <cell r="B6022" t="str">
            <v>Y</v>
          </cell>
          <cell r="C6022" t="str">
            <v>EACH</v>
          </cell>
          <cell r="D6022" t="str">
            <v>SHARED LANE MARKING, TYPE 1</v>
          </cell>
          <cell r="F6022" t="str">
            <v>CLEVELAND SPECIFICATIONS</v>
          </cell>
          <cell r="G6022">
            <v>0</v>
          </cell>
        </row>
        <row r="6023">
          <cell r="A6023" t="str">
            <v>642E19010</v>
          </cell>
          <cell r="B6023" t="str">
            <v>Y</v>
          </cell>
          <cell r="C6023" t="str">
            <v>EACH</v>
          </cell>
          <cell r="D6023" t="str">
            <v>SHARED LANE MARKING, TYPE 1A</v>
          </cell>
          <cell r="F6023" t="str">
            <v>CLEVELAND SPECIFICATIONS</v>
          </cell>
          <cell r="G6023">
            <v>0</v>
          </cell>
        </row>
        <row r="6024">
          <cell r="A6024" t="str">
            <v>642E20000</v>
          </cell>
          <cell r="B6024" t="str">
            <v>Y</v>
          </cell>
          <cell r="C6024" t="str">
            <v>LS</v>
          </cell>
          <cell r="D6024" t="str">
            <v>TWO-WAY RADIO EQUIPMENT</v>
          </cell>
          <cell r="F6024" t="str">
            <v>CLEVELAND SPECIFICATIONS</v>
          </cell>
          <cell r="G6024">
            <v>0</v>
          </cell>
        </row>
        <row r="6025">
          <cell r="A6025" t="str">
            <v>642E20800</v>
          </cell>
          <cell r="B6025" t="str">
            <v>Y</v>
          </cell>
          <cell r="C6025" t="str">
            <v>FT</v>
          </cell>
          <cell r="D6025" t="str">
            <v>YIELD LINE</v>
          </cell>
          <cell r="F6025" t="str">
            <v>CLEVELAND SPECIFICATIONS</v>
          </cell>
          <cell r="G6025">
            <v>0</v>
          </cell>
        </row>
        <row r="6026">
          <cell r="A6026" t="str">
            <v>642E20802</v>
          </cell>
          <cell r="B6026" t="str">
            <v>Y</v>
          </cell>
          <cell r="C6026" t="str">
            <v>FT</v>
          </cell>
          <cell r="D6026" t="str">
            <v>YIELD LINE, TYPE 1</v>
          </cell>
          <cell r="F6026" t="str">
            <v>CLEVELAND SPECIFICATIONS</v>
          </cell>
          <cell r="G6026">
            <v>0</v>
          </cell>
        </row>
        <row r="6027">
          <cell r="A6027" t="str">
            <v>642E20810</v>
          </cell>
          <cell r="B6027" t="str">
            <v>Y</v>
          </cell>
          <cell r="C6027" t="str">
            <v>FT</v>
          </cell>
          <cell r="D6027" t="str">
            <v>YIELD LINE, TYPE 1A</v>
          </cell>
          <cell r="F6027" t="str">
            <v>CLEVELAND SPECIFICATIONS</v>
          </cell>
          <cell r="G6027">
            <v>0</v>
          </cell>
        </row>
        <row r="6028">
          <cell r="A6028" t="str">
            <v>642E30000</v>
          </cell>
          <cell r="B6028" t="str">
            <v>Y</v>
          </cell>
          <cell r="C6028" t="str">
            <v>FT</v>
          </cell>
          <cell r="D6028" t="str">
            <v>REMOVAL OF PAVEMENT MARKING</v>
          </cell>
          <cell r="F6028" t="str">
            <v>CLEVELAND SPECIFICATIONS</v>
          </cell>
          <cell r="G6028">
            <v>0</v>
          </cell>
        </row>
        <row r="6029">
          <cell r="A6029" t="str">
            <v>642E30001</v>
          </cell>
          <cell r="B6029" t="str">
            <v>Y</v>
          </cell>
          <cell r="C6029" t="str">
            <v>FT</v>
          </cell>
          <cell r="D6029" t="str">
            <v>REMOVAL OF PAVEMENT MARKING, AS PER PLAN</v>
          </cell>
          <cell r="F6029" t="str">
            <v>CLEVELAND SPECIFICATIONS</v>
          </cell>
          <cell r="G6029">
            <v>0</v>
          </cell>
        </row>
        <row r="6030">
          <cell r="A6030" t="str">
            <v>642E30010</v>
          </cell>
          <cell r="B6030" t="str">
            <v>Y</v>
          </cell>
          <cell r="C6030" t="str">
            <v>SF</v>
          </cell>
          <cell r="D6030" t="str">
            <v>REMOVAL OF PAVEMENT MARKING</v>
          </cell>
          <cell r="F6030" t="str">
            <v>CLEVELAND SPECIFICATIONS</v>
          </cell>
          <cell r="G6030">
            <v>0</v>
          </cell>
        </row>
        <row r="6031">
          <cell r="A6031" t="str">
            <v>642E30020</v>
          </cell>
          <cell r="B6031" t="str">
            <v>Y</v>
          </cell>
          <cell r="C6031" t="str">
            <v>EACH</v>
          </cell>
          <cell r="D6031" t="str">
            <v>REMOVAL OF PAVEMENT MARKING</v>
          </cell>
          <cell r="F6031" t="str">
            <v>CLEVELAND SPECIFICATIONS</v>
          </cell>
          <cell r="G6031">
            <v>0</v>
          </cell>
        </row>
        <row r="6032">
          <cell r="A6032" t="str">
            <v>642E30030</v>
          </cell>
          <cell r="B6032" t="str">
            <v>Y</v>
          </cell>
          <cell r="C6032" t="str">
            <v>MILE</v>
          </cell>
          <cell r="D6032" t="str">
            <v>REMOVAL OF PAVEMENT MARKING</v>
          </cell>
          <cell r="F6032" t="str">
            <v>CLEVELAND SPECIFICATIONS</v>
          </cell>
          <cell r="G6032">
            <v>0</v>
          </cell>
        </row>
        <row r="6033">
          <cell r="A6033" t="str">
            <v>642E30031</v>
          </cell>
          <cell r="B6033" t="str">
            <v>Y</v>
          </cell>
          <cell r="C6033" t="str">
            <v>MILE</v>
          </cell>
          <cell r="D6033" t="str">
            <v>REMOVAL OF PAVEMENT MARKING, AS PER PLAN</v>
          </cell>
          <cell r="F6033" t="str">
            <v>CLEVELAND SPECIFICATIONS</v>
          </cell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 t="str">
            <v>Y</v>
          </cell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 t="str">
            <v>Y</v>
          </cell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 t="str">
            <v>Y</v>
          </cell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 t="str">
            <v>Y</v>
          </cell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 t="str">
            <v>Y</v>
          </cell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 t="str">
            <v>Y</v>
          </cell>
          <cell r="C6041" t="str">
            <v>SF</v>
          </cell>
          <cell r="D6041" t="str">
            <v>GREEN COLORED PAVEMENT FOR BIKE LANES,TYPE 1</v>
          </cell>
          <cell r="F6041" t="str">
            <v>CLEVELAND SPECIFICATIONS</v>
          </cell>
          <cell r="G6041">
            <v>0</v>
          </cell>
        </row>
        <row r="6042">
          <cell r="A6042" t="str">
            <v>642E60010</v>
          </cell>
          <cell r="B6042" t="str">
            <v>Y</v>
          </cell>
          <cell r="C6042" t="str">
            <v>SF</v>
          </cell>
          <cell r="D6042" t="str">
            <v>GREEN COLORED PAVEMENT FOR BIKE LANES,TYPE 1A</v>
          </cell>
          <cell r="F6042" t="str">
            <v>CLEVELAND SPECIFICATIONS</v>
          </cell>
          <cell r="G6042">
            <v>0</v>
          </cell>
        </row>
        <row r="6043">
          <cell r="A6043" t="str">
            <v>643E00100</v>
          </cell>
          <cell r="B6043" t="str">
            <v>Y</v>
          </cell>
          <cell r="C6043" t="str">
            <v>MILE</v>
          </cell>
          <cell r="D6043" t="str">
            <v>EDGE LINE, 4"</v>
          </cell>
          <cell r="F6043" t="str">
            <v>CLEVELAND SPECIFICATIONS</v>
          </cell>
          <cell r="G6043">
            <v>0</v>
          </cell>
        </row>
        <row r="6044">
          <cell r="A6044" t="str">
            <v>643E00101</v>
          </cell>
          <cell r="B6044" t="str">
            <v>Y</v>
          </cell>
          <cell r="C6044" t="str">
            <v>MILE</v>
          </cell>
          <cell r="D6044" t="str">
            <v>EDGE LINE, 4", AS PER PLAN</v>
          </cell>
          <cell r="F6044" t="str">
            <v>LAKE COUNTY SPECIFICATIONS</v>
          </cell>
          <cell r="G6044">
            <v>0</v>
          </cell>
        </row>
        <row r="6045">
          <cell r="A6045" t="str">
            <v>643E00104</v>
          </cell>
          <cell r="B6045" t="str">
            <v>Y</v>
          </cell>
          <cell r="C6045" t="str">
            <v>MILE</v>
          </cell>
          <cell r="D6045" t="str">
            <v>EDGE LINE, 6"</v>
          </cell>
          <cell r="F6045" t="str">
            <v>LAKE COUNTY SPECIFICATIONS</v>
          </cell>
          <cell r="G6045">
            <v>0</v>
          </cell>
        </row>
        <row r="6046">
          <cell r="A6046" t="str">
            <v>643E00105</v>
          </cell>
          <cell r="B6046" t="str">
            <v>Y</v>
          </cell>
          <cell r="C6046" t="str">
            <v>MILE</v>
          </cell>
          <cell r="D6046" t="str">
            <v>EDGE LINE, 6", AS PER PLAN</v>
          </cell>
          <cell r="F6046" t="str">
            <v>LAKE COUNTY SPECIFICATIONS</v>
          </cell>
          <cell r="G6046">
            <v>0</v>
          </cell>
        </row>
        <row r="6047">
          <cell r="A6047" t="str">
            <v>643E00200</v>
          </cell>
          <cell r="B6047" t="str">
            <v>Y</v>
          </cell>
          <cell r="C6047" t="str">
            <v>MILE</v>
          </cell>
          <cell r="D6047" t="str">
            <v>LANE LINE, 4"</v>
          </cell>
          <cell r="F6047" t="str">
            <v>LAKE COUNTY SPECIFICATIONS</v>
          </cell>
          <cell r="G6047">
            <v>0</v>
          </cell>
        </row>
        <row r="6048">
          <cell r="A6048" t="str">
            <v>643E00201</v>
          </cell>
          <cell r="B6048" t="str">
            <v>Y</v>
          </cell>
          <cell r="C6048" t="str">
            <v>MILE</v>
          </cell>
          <cell r="D6048" t="str">
            <v>LANE LINE, 4", AS PER PLAN</v>
          </cell>
          <cell r="F6048" t="str">
            <v>LAKE COUNTY SPECIFICATIONS</v>
          </cell>
          <cell r="G6048">
            <v>0</v>
          </cell>
        </row>
        <row r="6049">
          <cell r="A6049" t="str">
            <v>643E00204</v>
          </cell>
          <cell r="B6049" t="str">
            <v>Y</v>
          </cell>
          <cell r="C6049" t="str">
            <v>MILE</v>
          </cell>
          <cell r="D6049" t="str">
            <v>LANE LINE, 6"</v>
          </cell>
          <cell r="F6049" t="str">
            <v>LAKE COUNTY SPECIFICATIONS</v>
          </cell>
          <cell r="G6049">
            <v>0</v>
          </cell>
        </row>
        <row r="6050">
          <cell r="A6050" t="str">
            <v>643E00205</v>
          </cell>
          <cell r="B6050" t="str">
            <v>Y</v>
          </cell>
          <cell r="C6050" t="str">
            <v>MILE</v>
          </cell>
          <cell r="D6050" t="str">
            <v>LANE LINE, 6", AS PER PLAN</v>
          </cell>
          <cell r="F6050" t="str">
            <v>LAKE COUNTY SPECIFICATIONS</v>
          </cell>
          <cell r="G6050">
            <v>0</v>
          </cell>
        </row>
        <row r="6051">
          <cell r="A6051" t="str">
            <v>643E00300</v>
          </cell>
          <cell r="B6051" t="str">
            <v>Y</v>
          </cell>
          <cell r="C6051" t="str">
            <v>MILE</v>
          </cell>
          <cell r="D6051" t="str">
            <v>CENTER LINE</v>
          </cell>
          <cell r="F6051" t="str">
            <v>LAKE COUNTY SPECIFICATIONS</v>
          </cell>
          <cell r="G6051">
            <v>0</v>
          </cell>
        </row>
        <row r="6052">
          <cell r="A6052" t="str">
            <v>643E00301</v>
          </cell>
          <cell r="B6052" t="str">
            <v>Y</v>
          </cell>
          <cell r="C6052" t="str">
            <v>MILE</v>
          </cell>
          <cell r="D6052" t="str">
            <v>CENTER LINE, AS PER PLAN</v>
          </cell>
          <cell r="F6052" t="str">
            <v>LAKE COUNTY SPECIFICATIONS</v>
          </cell>
          <cell r="G6052">
            <v>0</v>
          </cell>
        </row>
        <row r="6053">
          <cell r="A6053" t="str">
            <v>643E00400</v>
          </cell>
          <cell r="B6053" t="str">
            <v>Y</v>
          </cell>
          <cell r="C6053" t="str">
            <v>FT</v>
          </cell>
          <cell r="D6053" t="str">
            <v>CHANNELIZING LINE, 8"</v>
          </cell>
          <cell r="F6053" t="str">
            <v>LAKE COUNTY SPECIFICATIONS</v>
          </cell>
          <cell r="G6053">
            <v>0</v>
          </cell>
        </row>
        <row r="6054">
          <cell r="A6054" t="str">
            <v>643E00401</v>
          </cell>
          <cell r="B6054" t="str">
            <v>Y</v>
          </cell>
          <cell r="C6054" t="str">
            <v>FT</v>
          </cell>
          <cell r="D6054" t="str">
            <v>CHANNELIZING LINE, 8", AS PER PLAN</v>
          </cell>
          <cell r="F6054" t="str">
            <v>LAKE COUNTY SPECIFICATIONS</v>
          </cell>
          <cell r="G6054">
            <v>0</v>
          </cell>
        </row>
        <row r="6055">
          <cell r="A6055" t="str">
            <v>643E00404</v>
          </cell>
          <cell r="B6055" t="str">
            <v>Y</v>
          </cell>
          <cell r="C6055" t="str">
            <v>FT</v>
          </cell>
          <cell r="D6055" t="str">
            <v>CHANNELIZING LINE, 12"</v>
          </cell>
          <cell r="F6055" t="str">
            <v>LAKE COUNTY SPECIFICATIONS</v>
          </cell>
          <cell r="G6055">
            <v>0</v>
          </cell>
        </row>
        <row r="6056">
          <cell r="A6056" t="str">
            <v>643E00405</v>
          </cell>
          <cell r="B6056" t="str">
            <v>Y</v>
          </cell>
          <cell r="C6056" t="str">
            <v>FT</v>
          </cell>
          <cell r="D6056" t="str">
            <v>CHANNELIZING LINE, 12", AS PER PLAN</v>
          </cell>
          <cell r="F6056" t="str">
            <v>LAKE COUNTY SPECIFICATIONS</v>
          </cell>
          <cell r="G6056">
            <v>0</v>
          </cell>
        </row>
        <row r="6057">
          <cell r="A6057" t="str">
            <v>643E00500</v>
          </cell>
          <cell r="B6057" t="str">
            <v>Y</v>
          </cell>
          <cell r="C6057" t="str">
            <v>FT</v>
          </cell>
          <cell r="D6057" t="str">
            <v>STOP LINE</v>
          </cell>
          <cell r="F6057" t="str">
            <v>LAKE COUNTY SPECIFICATIONS</v>
          </cell>
          <cell r="G6057">
            <v>0</v>
          </cell>
        </row>
        <row r="6058">
          <cell r="A6058" t="str">
            <v>643E00501</v>
          </cell>
          <cell r="B6058" t="str">
            <v>Y</v>
          </cell>
          <cell r="C6058" t="str">
            <v>FT</v>
          </cell>
          <cell r="D6058" t="str">
            <v>STOP LINE, AS PER PLAN</v>
          </cell>
          <cell r="F6058" t="str">
            <v>LAKE COUNTY SPECIFICATIONS</v>
          </cell>
          <cell r="G6058">
            <v>0</v>
          </cell>
        </row>
        <row r="6059">
          <cell r="A6059" t="str">
            <v>643E00600</v>
          </cell>
          <cell r="B6059" t="str">
            <v>Y</v>
          </cell>
          <cell r="C6059" t="str">
            <v>FT</v>
          </cell>
          <cell r="D6059" t="str">
            <v>CROSSWALK LINE</v>
          </cell>
          <cell r="F6059" t="str">
            <v>LAKE COUNTY SPECIFICATIONS</v>
          </cell>
          <cell r="G6059">
            <v>0</v>
          </cell>
        </row>
        <row r="6060">
          <cell r="A6060" t="str">
            <v>643E00601</v>
          </cell>
          <cell r="B6060" t="str">
            <v>Y</v>
          </cell>
          <cell r="C6060" t="str">
            <v>FT</v>
          </cell>
          <cell r="D6060" t="str">
            <v>CROSSWALK LINE, AS PER PLAN</v>
          </cell>
          <cell r="F6060" t="str">
            <v>LAKE COUNTY SPECIFICATIONS</v>
          </cell>
          <cell r="G6060">
            <v>0</v>
          </cell>
        </row>
        <row r="6061">
          <cell r="A6061" t="str">
            <v>643E00700</v>
          </cell>
          <cell r="B6061" t="str">
            <v>Y</v>
          </cell>
          <cell r="C6061" t="str">
            <v>FT</v>
          </cell>
          <cell r="D6061" t="str">
            <v>TRANSVERSE/DIAGONAL LINE</v>
          </cell>
          <cell r="F6061" t="str">
            <v>LAKE COUNTY SPECIFICATIONS</v>
          </cell>
          <cell r="G6061">
            <v>0</v>
          </cell>
        </row>
        <row r="6062">
          <cell r="A6062" t="str">
            <v>643E00701</v>
          </cell>
          <cell r="B6062" t="str">
            <v>Y</v>
          </cell>
          <cell r="C6062" t="str">
            <v>FT</v>
          </cell>
          <cell r="D6062" t="str">
            <v>TRANSVERSE/DIAGONAL LINE, AS PER PLAN</v>
          </cell>
          <cell r="F6062" t="str">
            <v>LAKE COUNTY SPECIFICATIONS</v>
          </cell>
          <cell r="G6062">
            <v>0</v>
          </cell>
        </row>
        <row r="6063">
          <cell r="A6063" t="str">
            <v>643E00720</v>
          </cell>
          <cell r="B6063" t="str">
            <v>Y</v>
          </cell>
          <cell r="C6063" t="str">
            <v>FT</v>
          </cell>
          <cell r="D6063" t="str">
            <v>CHEVRON MARKING</v>
          </cell>
          <cell r="F6063" t="str">
            <v>LAKE COUNTY SPECIFICATIONS</v>
          </cell>
          <cell r="G6063">
            <v>0</v>
          </cell>
        </row>
        <row r="6064">
          <cell r="A6064" t="str">
            <v>643E00721</v>
          </cell>
          <cell r="B6064" t="str">
            <v>Y</v>
          </cell>
          <cell r="C6064" t="str">
            <v>FT</v>
          </cell>
          <cell r="D6064" t="str">
            <v>CHEVRON MARKING, AS PER PLAN</v>
          </cell>
          <cell r="F6064" t="str">
            <v>LAKE COUNTY SPECIFICATIONS</v>
          </cell>
          <cell r="G6064">
            <v>0</v>
          </cell>
        </row>
        <row r="6065">
          <cell r="A6065" t="str">
            <v>643E00800</v>
          </cell>
          <cell r="B6065" t="str">
            <v>Y</v>
          </cell>
          <cell r="C6065" t="str">
            <v>FT</v>
          </cell>
          <cell r="D6065" t="str">
            <v>CURB MARKING</v>
          </cell>
          <cell r="F6065" t="str">
            <v>LAKE COUNTY SPECIFICATIONS</v>
          </cell>
          <cell r="G6065">
            <v>0</v>
          </cell>
        </row>
        <row r="6066">
          <cell r="A6066" t="str">
            <v>643E00801</v>
          </cell>
          <cell r="B6066" t="str">
            <v>Y</v>
          </cell>
          <cell r="C6066" t="str">
            <v>FT</v>
          </cell>
          <cell r="D6066" t="str">
            <v>CURB MARKING, AS PER PLAN</v>
          </cell>
          <cell r="F6066" t="str">
            <v>LAKE COUNTY SPECIFICATIONS</v>
          </cell>
          <cell r="G6066">
            <v>0</v>
          </cell>
        </row>
        <row r="6067">
          <cell r="A6067" t="str">
            <v>643E00900</v>
          </cell>
          <cell r="B6067" t="str">
            <v>Y</v>
          </cell>
          <cell r="C6067" t="str">
            <v>SF</v>
          </cell>
          <cell r="D6067" t="str">
            <v>ISLAND MARKING</v>
          </cell>
          <cell r="F6067" t="str">
            <v>LAKE COUNTY SPECIFICATIONS</v>
          </cell>
          <cell r="G6067">
            <v>0</v>
          </cell>
        </row>
        <row r="6068">
          <cell r="A6068" t="str">
            <v>643E00901</v>
          </cell>
          <cell r="B6068" t="str">
            <v>Y</v>
          </cell>
          <cell r="C6068" t="str">
            <v>SF</v>
          </cell>
          <cell r="D6068" t="str">
            <v>ISLAND MARKING, AS PER PLAN</v>
          </cell>
          <cell r="F6068" t="str">
            <v>LAKE COUNTY SPECIFICATIONS</v>
          </cell>
          <cell r="G6068">
            <v>0</v>
          </cell>
        </row>
        <row r="6069">
          <cell r="A6069" t="str">
            <v>643E01000</v>
          </cell>
          <cell r="B6069" t="str">
            <v>Y</v>
          </cell>
          <cell r="C6069" t="str">
            <v>EACH</v>
          </cell>
          <cell r="D6069" t="str">
            <v>RAILROAD SYMBOL MARKING</v>
          </cell>
          <cell r="F6069" t="str">
            <v>LAKE COUNTY SPECIFICATIONS</v>
          </cell>
          <cell r="G6069">
            <v>0</v>
          </cell>
        </row>
        <row r="6070">
          <cell r="A6070" t="str">
            <v>643E01001</v>
          </cell>
          <cell r="B6070" t="str">
            <v>Y</v>
          </cell>
          <cell r="C6070" t="str">
            <v>EACH</v>
          </cell>
          <cell r="D6070" t="str">
            <v>RAILROAD SYMBOL MARKING, AS PER PLAN</v>
          </cell>
          <cell r="F6070" t="str">
            <v>LAKE COUNTY SPECIFICATIONS</v>
          </cell>
          <cell r="G6070">
            <v>0</v>
          </cell>
        </row>
        <row r="6071">
          <cell r="A6071" t="str">
            <v>643E01100</v>
          </cell>
          <cell r="B6071" t="str">
            <v>Y</v>
          </cell>
          <cell r="C6071" t="str">
            <v>EACH</v>
          </cell>
          <cell r="D6071" t="str">
            <v>SCHOOL SYMBOL MARKING, 72"</v>
          </cell>
          <cell r="F6071" t="str">
            <v>LAKE COUNTY SPECIFICATIONS</v>
          </cell>
          <cell r="G6071">
            <v>0</v>
          </cell>
        </row>
        <row r="6072">
          <cell r="A6072" t="str">
            <v>643E01101</v>
          </cell>
          <cell r="B6072" t="str">
            <v>Y</v>
          </cell>
          <cell r="C6072" t="str">
            <v>EACH</v>
          </cell>
          <cell r="D6072" t="str">
            <v>SCHOOL SYMBOL MARKING, 72", AS PER PLAN</v>
          </cell>
          <cell r="F6072" t="str">
            <v>LAKE COUNTY SPECIFICATIONS</v>
          </cell>
          <cell r="G6072">
            <v>0</v>
          </cell>
        </row>
        <row r="6073">
          <cell r="A6073" t="str">
            <v>643E01110</v>
          </cell>
          <cell r="B6073" t="str">
            <v>Y</v>
          </cell>
          <cell r="C6073" t="str">
            <v>EACH</v>
          </cell>
          <cell r="D6073" t="str">
            <v>SCHOOL SYMBOL MARKING, 96"</v>
          </cell>
          <cell r="F6073" t="str">
            <v>LAKE COUNTY SPECIFICATIONS</v>
          </cell>
          <cell r="G6073">
            <v>0</v>
          </cell>
        </row>
        <row r="6074">
          <cell r="A6074" t="str">
            <v>643E01111</v>
          </cell>
          <cell r="B6074" t="str">
            <v>Y</v>
          </cell>
          <cell r="C6074" t="str">
            <v>EACH</v>
          </cell>
          <cell r="D6074" t="str">
            <v>SCHOOL SYMBOL MARKING, 96", AS PER PLAN</v>
          </cell>
          <cell r="F6074" t="str">
            <v>LAKE COUNTY SPECIFICATIONS</v>
          </cell>
          <cell r="G6074">
            <v>0</v>
          </cell>
        </row>
        <row r="6075">
          <cell r="A6075" t="str">
            <v>643E01120</v>
          </cell>
          <cell r="B6075" t="str">
            <v>Y</v>
          </cell>
          <cell r="C6075" t="str">
            <v>EACH</v>
          </cell>
          <cell r="D6075" t="str">
            <v>SCHOOL SYMBOL MARKING, 120"</v>
          </cell>
          <cell r="F6075" t="str">
            <v>LAKE COUNTY SPECIFICATIONS</v>
          </cell>
          <cell r="G6075">
            <v>0</v>
          </cell>
        </row>
        <row r="6076">
          <cell r="A6076" t="str">
            <v>643E01121</v>
          </cell>
          <cell r="B6076" t="str">
            <v>Y</v>
          </cell>
          <cell r="C6076" t="str">
            <v>EACH</v>
          </cell>
          <cell r="D6076" t="str">
            <v>SCHOOL SYMBOL MARKING, 120", AS PER PLAN</v>
          </cell>
          <cell r="F6076" t="str">
            <v>LAKE COUNTY SPECIFICATIONS</v>
          </cell>
          <cell r="G6076">
            <v>0</v>
          </cell>
        </row>
        <row r="6077">
          <cell r="A6077" t="str">
            <v>643E01200</v>
          </cell>
          <cell r="B6077" t="str">
            <v>Y</v>
          </cell>
          <cell r="C6077" t="str">
            <v>FT</v>
          </cell>
          <cell r="D6077" t="str">
            <v>PARKING LOT STALL MARKING</v>
          </cell>
          <cell r="F6077" t="str">
            <v>LAKE COUNTY SPECIFICATIONS</v>
          </cell>
          <cell r="G6077">
            <v>0</v>
          </cell>
        </row>
        <row r="6078">
          <cell r="A6078" t="str">
            <v>643E01201</v>
          </cell>
          <cell r="B6078" t="str">
            <v>Y</v>
          </cell>
          <cell r="C6078" t="str">
            <v>FT</v>
          </cell>
          <cell r="D6078" t="str">
            <v>PARKING LOT STALL MARKING, AS PER PLAN</v>
          </cell>
          <cell r="F6078" t="str">
            <v>LAKE COUNTY SPECIFICATIONS</v>
          </cell>
          <cell r="G6078">
            <v>0</v>
          </cell>
        </row>
        <row r="6079">
          <cell r="A6079" t="str">
            <v>643E01300</v>
          </cell>
          <cell r="B6079" t="str">
            <v>Y</v>
          </cell>
          <cell r="C6079" t="str">
            <v>EACH</v>
          </cell>
          <cell r="D6079" t="str">
            <v>LANE ARROW</v>
          </cell>
          <cell r="F6079" t="str">
            <v>LAKE COUNTY SPECIFICATIONS</v>
          </cell>
          <cell r="G6079">
            <v>0</v>
          </cell>
        </row>
        <row r="6080">
          <cell r="A6080" t="str">
            <v>643E01301</v>
          </cell>
          <cell r="B6080" t="str">
            <v>Y</v>
          </cell>
          <cell r="C6080" t="str">
            <v>EACH</v>
          </cell>
          <cell r="D6080" t="str">
            <v>LANE ARROW, AS PER PLAN</v>
          </cell>
          <cell r="F6080" t="str">
            <v>LAKE COUNTY SPECIFICATIONS</v>
          </cell>
          <cell r="G6080">
            <v>0</v>
          </cell>
        </row>
        <row r="6081">
          <cell r="A6081" t="str">
            <v>643E01310</v>
          </cell>
          <cell r="B6081" t="str">
            <v>Y</v>
          </cell>
          <cell r="C6081" t="str">
            <v>EACH</v>
          </cell>
          <cell r="D6081" t="str">
            <v>WRONG WAY ARROW</v>
          </cell>
          <cell r="F6081" t="str">
            <v>LAKE COUNTY SPECIFICATIONS</v>
          </cell>
          <cell r="G6081">
            <v>0</v>
          </cell>
        </row>
        <row r="6082">
          <cell r="A6082" t="str">
            <v>643E01400</v>
          </cell>
          <cell r="B6082" t="str">
            <v>Y</v>
          </cell>
          <cell r="C6082" t="str">
            <v>EACH</v>
          </cell>
          <cell r="D6082" t="str">
            <v>WORD ON PAVEMENT, 72"</v>
          </cell>
          <cell r="F6082" t="str">
            <v>LAKE COUNTY SPECIFICATIONS</v>
          </cell>
          <cell r="G6082">
            <v>0</v>
          </cell>
        </row>
        <row r="6083">
          <cell r="A6083" t="str">
            <v>643E01401</v>
          </cell>
          <cell r="B6083" t="str">
            <v>Y</v>
          </cell>
          <cell r="C6083" t="str">
            <v>EACH</v>
          </cell>
          <cell r="D6083" t="str">
            <v>WORD ON PAVEMENT, 72", AS PER PLAN</v>
          </cell>
          <cell r="F6083" t="str">
            <v>LAKE COUNTY SPECIFICATIONS</v>
          </cell>
          <cell r="G6083">
            <v>0</v>
          </cell>
        </row>
        <row r="6084">
          <cell r="A6084" t="str">
            <v>643E01410</v>
          </cell>
          <cell r="B6084" t="str">
            <v>Y</v>
          </cell>
          <cell r="C6084" t="str">
            <v>EACH</v>
          </cell>
          <cell r="D6084" t="str">
            <v>WORD ON PAVEMENT, 96"</v>
          </cell>
          <cell r="F6084" t="str">
            <v>LAKE COUNTY SPECIFICATIONS</v>
          </cell>
          <cell r="G6084">
            <v>0</v>
          </cell>
        </row>
        <row r="6085">
          <cell r="A6085" t="str">
            <v>643E01411</v>
          </cell>
          <cell r="B6085" t="str">
            <v>Y</v>
          </cell>
          <cell r="C6085" t="str">
            <v>EACH</v>
          </cell>
          <cell r="D6085" t="str">
            <v>WORD ON PAVEMENT, 96", AS PER PLAN</v>
          </cell>
          <cell r="F6085" t="str">
            <v>LAKE COUNTY SPECIFICATIONS</v>
          </cell>
          <cell r="G6085">
            <v>0</v>
          </cell>
        </row>
        <row r="6086">
          <cell r="A6086" t="str">
            <v>643E01500</v>
          </cell>
          <cell r="B6086" t="str">
            <v>Y</v>
          </cell>
          <cell r="C6086" t="str">
            <v>FT</v>
          </cell>
          <cell r="D6086" t="str">
            <v>DOTTED LINE, 4"</v>
          </cell>
          <cell r="F6086" t="str">
            <v>LAKE COUNTY SPECIFICATIONS</v>
          </cell>
          <cell r="G6086">
            <v>0</v>
          </cell>
        </row>
        <row r="6087">
          <cell r="A6087" t="str">
            <v>643E01501</v>
          </cell>
          <cell r="B6087" t="str">
            <v>Y</v>
          </cell>
          <cell r="C6087" t="str">
            <v>FT</v>
          </cell>
          <cell r="D6087" t="str">
            <v>DOTTED LINE, 4", AS PER PLAN</v>
          </cell>
          <cell r="F6087" t="str">
            <v>LAKE COUNTY SPECIFICATIONS</v>
          </cell>
          <cell r="G6087">
            <v>0</v>
          </cell>
        </row>
        <row r="6088">
          <cell r="A6088" t="str">
            <v>643E01510</v>
          </cell>
          <cell r="B6088" t="str">
            <v>Y</v>
          </cell>
          <cell r="C6088" t="str">
            <v>FT</v>
          </cell>
          <cell r="D6088" t="str">
            <v>DOTTED LINE, 6"</v>
          </cell>
          <cell r="F6088" t="str">
            <v>LAKE COUNTY SPECIFICATIONS</v>
          </cell>
          <cell r="G6088">
            <v>0</v>
          </cell>
        </row>
        <row r="6089">
          <cell r="A6089" t="str">
            <v>643E01511</v>
          </cell>
          <cell r="B6089" t="str">
            <v>Y</v>
          </cell>
          <cell r="C6089" t="str">
            <v>FT</v>
          </cell>
          <cell r="D6089" t="str">
            <v>DOTTED LINE, 6", AS PER PLAN</v>
          </cell>
          <cell r="F6089" t="str">
            <v>LAKE COUNTY SPECIFICATIONS</v>
          </cell>
          <cell r="G6089">
            <v>0</v>
          </cell>
        </row>
        <row r="6090">
          <cell r="A6090" t="str">
            <v>643E01550</v>
          </cell>
          <cell r="B6090" t="str">
            <v>Y</v>
          </cell>
          <cell r="C6090" t="str">
            <v>FT</v>
          </cell>
          <cell r="D6090" t="str">
            <v>DOTTED LINE, 12"</v>
          </cell>
          <cell r="F6090" t="str">
            <v>LAKE COUNTY SPECIFICATIONS</v>
          </cell>
          <cell r="G6090">
            <v>0</v>
          </cell>
        </row>
        <row r="6091">
          <cell r="A6091" t="str">
            <v>643E01551</v>
          </cell>
          <cell r="B6091" t="str">
            <v>Y</v>
          </cell>
          <cell r="C6091" t="str">
            <v>FT</v>
          </cell>
          <cell r="D6091" t="str">
            <v>DOTTED LINE, 12", AS PER PLAN</v>
          </cell>
          <cell r="F6091" t="str">
            <v>LAKE COUNTY SPECIFICATIONS</v>
          </cell>
          <cell r="G6091">
            <v>0</v>
          </cell>
        </row>
        <row r="6092">
          <cell r="A6092" t="str">
            <v>643E01600</v>
          </cell>
          <cell r="B6092" t="str">
            <v>Y</v>
          </cell>
          <cell r="C6092" t="str">
            <v>EACH</v>
          </cell>
          <cell r="D6092" t="str">
            <v>HANDICAP SYMBOL MARKING</v>
          </cell>
          <cell r="F6092" t="str">
            <v>LAKE COUNTY SPECIFICATIONS</v>
          </cell>
          <cell r="G6092">
            <v>0</v>
          </cell>
        </row>
        <row r="6093">
          <cell r="A6093" t="str">
            <v>643E01601</v>
          </cell>
          <cell r="B6093" t="str">
            <v>Y</v>
          </cell>
          <cell r="C6093" t="str">
            <v>EACH</v>
          </cell>
          <cell r="D6093" t="str">
            <v>HANDICAP SYMBOL MARKING, AS PER PLAN</v>
          </cell>
          <cell r="F6093" t="str">
            <v>LAKE COUNTY SPECIFICATIONS</v>
          </cell>
          <cell r="G6093">
            <v>0</v>
          </cell>
        </row>
        <row r="6094">
          <cell r="A6094" t="str">
            <v>643E01602</v>
          </cell>
          <cell r="B6094" t="str">
            <v>Y</v>
          </cell>
          <cell r="C6094" t="str">
            <v>EACH</v>
          </cell>
          <cell r="D6094" t="str">
            <v>BIKE LANE SYMBOL MARKING</v>
          </cell>
          <cell r="F6094" t="str">
            <v>LAKE COUNTY SPECIFICATIONS</v>
          </cell>
          <cell r="G6094">
            <v>0</v>
          </cell>
        </row>
        <row r="6095">
          <cell r="A6095" t="str">
            <v>643E19000</v>
          </cell>
          <cell r="B6095" t="str">
            <v>Y</v>
          </cell>
          <cell r="C6095" t="str">
            <v>EACH</v>
          </cell>
          <cell r="D6095" t="str">
            <v>SHARED LANE MARKING</v>
          </cell>
          <cell r="F6095" t="str">
            <v>LAKE COUNTY SPECIFICATIONS</v>
          </cell>
          <cell r="G6095">
            <v>0</v>
          </cell>
        </row>
        <row r="6096">
          <cell r="A6096" t="str">
            <v>643E20000</v>
          </cell>
          <cell r="B6096" t="str">
            <v>Y</v>
          </cell>
          <cell r="C6096" t="str">
            <v>LS</v>
          </cell>
          <cell r="D6096" t="str">
            <v>TWO-WAY RADIO EQUIPMENT</v>
          </cell>
          <cell r="F6096" t="str">
            <v>LAKE COUNTY SPECIFICATIONS</v>
          </cell>
          <cell r="G6096">
            <v>0</v>
          </cell>
        </row>
        <row r="6097">
          <cell r="A6097" t="str">
            <v>643E20802</v>
          </cell>
          <cell r="B6097" t="str">
            <v>Y</v>
          </cell>
          <cell r="C6097" t="str">
            <v>FT</v>
          </cell>
          <cell r="D6097" t="str">
            <v>YIELD LINE</v>
          </cell>
          <cell r="F6097" t="str">
            <v>LAKE COUNTY SPECIFICATIONS</v>
          </cell>
          <cell r="G6097">
            <v>0</v>
          </cell>
        </row>
        <row r="6098">
          <cell r="A6098" t="str">
            <v>643E30000</v>
          </cell>
          <cell r="B6098" t="str">
            <v>Y</v>
          </cell>
          <cell r="C6098" t="str">
            <v>FT</v>
          </cell>
          <cell r="D6098" t="str">
            <v>REMOVAL OF PAVEMENT MARKING</v>
          </cell>
          <cell r="F6098" t="str">
            <v>AKRON SPECIFICATION</v>
          </cell>
          <cell r="G6098">
            <v>0</v>
          </cell>
        </row>
        <row r="6099">
          <cell r="A6099" t="str">
            <v>643E30010</v>
          </cell>
          <cell r="B6099" t="str">
            <v>Y</v>
          </cell>
          <cell r="C6099" t="str">
            <v>SF</v>
          </cell>
          <cell r="D6099" t="str">
            <v>REMOVAL OF PAVEMENT MARKING</v>
          </cell>
          <cell r="F6099" t="str">
            <v>AKRON SPECIFICATION</v>
          </cell>
          <cell r="G6099">
            <v>0</v>
          </cell>
        </row>
        <row r="6100">
          <cell r="A6100" t="str">
            <v>643E30020</v>
          </cell>
          <cell r="B6100" t="str">
            <v>Y</v>
          </cell>
          <cell r="C6100" t="str">
            <v>EACH</v>
          </cell>
          <cell r="D6100" t="str">
            <v>REMOVAL OF PAVEMENT MARKING</v>
          </cell>
          <cell r="F6100" t="str">
            <v>AKRON SPECIFICATIONS</v>
          </cell>
          <cell r="G6100">
            <v>0</v>
          </cell>
        </row>
        <row r="6101">
          <cell r="A6101" t="str">
            <v>643E30030</v>
          </cell>
          <cell r="B6101" t="str">
            <v>Y</v>
          </cell>
          <cell r="C6101" t="str">
            <v>MILE</v>
          </cell>
          <cell r="D6101" t="str">
            <v>REMOVAL OF PAVEMENT MARKING</v>
          </cell>
          <cell r="F6101" t="str">
            <v>AKRON SPECIFICATIONS</v>
          </cell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 t="str">
            <v>AKRON SPECIFICATIONS</v>
          </cell>
          <cell r="G6102">
            <v>0</v>
          </cell>
        </row>
        <row r="6103">
          <cell r="A6103" t="str">
            <v>643E50000</v>
          </cell>
          <cell r="B6103" t="str">
            <v>Y</v>
          </cell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 t="str">
            <v>Y</v>
          </cell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 t="str">
            <v>Y</v>
          </cell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 t="str">
            <v>AKRON SPECIFICATIONS</v>
          </cell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 t="str">
            <v>AKRON SPECIFICATIONS</v>
          </cell>
          <cell r="G6107">
            <v>0</v>
          </cell>
        </row>
        <row r="6108">
          <cell r="A6108" t="str">
            <v>644E00101</v>
          </cell>
          <cell r="B6108" t="str">
            <v>Y</v>
          </cell>
          <cell r="C6108" t="str">
            <v>MILE</v>
          </cell>
          <cell r="D6108" t="str">
            <v>EDGE LINE, 4", AS PER PLAN</v>
          </cell>
          <cell r="F6108" t="str">
            <v>AKRON SPECIFICATION</v>
          </cell>
          <cell r="G6108">
            <v>0</v>
          </cell>
        </row>
        <row r="6109">
          <cell r="A6109" t="str">
            <v>644E00104</v>
          </cell>
          <cell r="B6109" t="str">
            <v>Y</v>
          </cell>
          <cell r="C6109" t="str">
            <v>MILE</v>
          </cell>
          <cell r="D6109" t="str">
            <v>EDGE LINE, 6"</v>
          </cell>
          <cell r="F6109" t="str">
            <v>AKRON SPECIFICATIONS</v>
          </cell>
          <cell r="G6109">
            <v>0</v>
          </cell>
        </row>
        <row r="6110">
          <cell r="A6110" t="str">
            <v>644E00200</v>
          </cell>
          <cell r="B6110" t="str">
            <v>Y</v>
          </cell>
          <cell r="C6110" t="str">
            <v>MILE</v>
          </cell>
          <cell r="D6110" t="str">
            <v>LANE LINE, 4"</v>
          </cell>
          <cell r="F6110" t="str">
            <v>AKRON SPECIFICATIONS</v>
          </cell>
          <cell r="G6110">
            <v>0</v>
          </cell>
        </row>
        <row r="6111">
          <cell r="A6111" t="str">
            <v>644E00201</v>
          </cell>
          <cell r="B6111" t="str">
            <v>Y</v>
          </cell>
          <cell r="C6111" t="str">
            <v>MILE</v>
          </cell>
          <cell r="D6111" t="str">
            <v>LANE LINE, 4", AS PER PLAN</v>
          </cell>
          <cell r="F6111" t="str">
            <v>AKRON SPECIFICATIONS</v>
          </cell>
          <cell r="G6111">
            <v>0</v>
          </cell>
        </row>
        <row r="6112">
          <cell r="A6112" t="str">
            <v>644E00204</v>
          </cell>
          <cell r="B6112" t="str">
            <v>Y</v>
          </cell>
          <cell r="C6112" t="str">
            <v>MILE</v>
          </cell>
          <cell r="D6112" t="str">
            <v>LANE LINE, 6"</v>
          </cell>
          <cell r="F6112" t="str">
            <v>AKRON SPECIFICATIONS</v>
          </cell>
          <cell r="G6112">
            <v>0</v>
          </cell>
        </row>
        <row r="6113">
          <cell r="A6113" t="str">
            <v>644E00300</v>
          </cell>
          <cell r="B6113" t="str">
            <v>Y</v>
          </cell>
          <cell r="C6113" t="str">
            <v>MILE</v>
          </cell>
          <cell r="D6113" t="str">
            <v>CENTER LINE</v>
          </cell>
          <cell r="F6113" t="str">
            <v>AKRON SPECIFICATIONS</v>
          </cell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 t="str">
            <v>AKRON SPECIFICATIONS</v>
          </cell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 t="str">
            <v>AKRON SPECIFICATIONS</v>
          </cell>
          <cell r="G6115">
            <v>0</v>
          </cell>
        </row>
        <row r="6116">
          <cell r="A6116" t="str">
            <v>644E00401</v>
          </cell>
          <cell r="B6116" t="str">
            <v>Y</v>
          </cell>
          <cell r="C6116" t="str">
            <v>FT</v>
          </cell>
          <cell r="D6116" t="str">
            <v>CHANNELIZING LINE, 8", AS PER PLAN</v>
          </cell>
          <cell r="F6116" t="str">
            <v>AKRON SPECIFICATIONS</v>
          </cell>
          <cell r="G6116">
            <v>0</v>
          </cell>
        </row>
        <row r="6117">
          <cell r="A6117" t="str">
            <v>644E00404</v>
          </cell>
          <cell r="B6117" t="str">
            <v>Y</v>
          </cell>
          <cell r="C6117" t="str">
            <v>FT</v>
          </cell>
          <cell r="D6117" t="str">
            <v>CHANNELIZING LINE, 12"</v>
          </cell>
          <cell r="F6117" t="str">
            <v>AKRON SPECIFICATIONS</v>
          </cell>
          <cell r="G6117">
            <v>0</v>
          </cell>
        </row>
        <row r="6118">
          <cell r="A6118" t="str">
            <v>644E00500</v>
          </cell>
          <cell r="B6118" t="str">
            <v>Y</v>
          </cell>
          <cell r="C6118" t="str">
            <v>FT</v>
          </cell>
          <cell r="D6118" t="str">
            <v>STOP LINE</v>
          </cell>
          <cell r="F6118" t="str">
            <v>AKRON SPECIFICATIONS</v>
          </cell>
          <cell r="G6118">
            <v>0</v>
          </cell>
        </row>
        <row r="6119">
          <cell r="A6119" t="str">
            <v>644E00501</v>
          </cell>
          <cell r="B6119" t="str">
            <v>Y</v>
          </cell>
          <cell r="C6119" t="str">
            <v>FT</v>
          </cell>
          <cell r="D6119" t="str">
            <v>STOP LINE, AS PER PLAN</v>
          </cell>
          <cell r="F6119" t="str">
            <v>AKRON SPECIFICATIONS</v>
          </cell>
          <cell r="G6119">
            <v>0</v>
          </cell>
        </row>
        <row r="6120">
          <cell r="A6120" t="str">
            <v>644E00600</v>
          </cell>
          <cell r="B6120" t="str">
            <v>Y</v>
          </cell>
          <cell r="C6120" t="str">
            <v>FT</v>
          </cell>
          <cell r="D6120" t="str">
            <v>CROSSWALK LINE</v>
          </cell>
          <cell r="F6120" t="str">
            <v>AKRON SPECIFICATIONS</v>
          </cell>
          <cell r="G6120">
            <v>0</v>
          </cell>
        </row>
        <row r="6121">
          <cell r="A6121" t="str">
            <v>644E00601</v>
          </cell>
          <cell r="B6121" t="str">
            <v>Y</v>
          </cell>
          <cell r="C6121" t="str">
            <v>FT</v>
          </cell>
          <cell r="D6121" t="str">
            <v>CROSSWALK LINE, AS PER PLAN</v>
          </cell>
          <cell r="F6121" t="str">
            <v>AKRON SPECIFICATIONS</v>
          </cell>
          <cell r="G6121">
            <v>0</v>
          </cell>
        </row>
        <row r="6122">
          <cell r="A6122" t="str">
            <v>644E00700</v>
          </cell>
          <cell r="B6122" t="str">
            <v>Y</v>
          </cell>
          <cell r="C6122" t="str">
            <v>FT</v>
          </cell>
          <cell r="D6122" t="str">
            <v>TRANSVERSE/DIAGONAL LINE</v>
          </cell>
          <cell r="F6122" t="str">
            <v>AKRON SPECIFICATION</v>
          </cell>
          <cell r="G6122">
            <v>0</v>
          </cell>
        </row>
        <row r="6123">
          <cell r="A6123" t="str">
            <v>644E00701</v>
          </cell>
          <cell r="B6123" t="str">
            <v>Y</v>
          </cell>
          <cell r="C6123" t="str">
            <v>FT</v>
          </cell>
          <cell r="D6123" t="str">
            <v>TRANSVERSE/DIAGONAL LINE, AS PER PLAN</v>
          </cell>
          <cell r="F6123" t="str">
            <v>AKRON SPECIFICATIONS</v>
          </cell>
          <cell r="G6123">
            <v>0</v>
          </cell>
        </row>
        <row r="6124">
          <cell r="A6124" t="str">
            <v>644E00720</v>
          </cell>
          <cell r="B6124" t="str">
            <v>Y</v>
          </cell>
          <cell r="C6124" t="str">
            <v>FT</v>
          </cell>
          <cell r="D6124" t="str">
            <v>CHEVRON MARKING</v>
          </cell>
          <cell r="F6124" t="str">
            <v>AKRON SPECIFICATIONS</v>
          </cell>
          <cell r="G6124">
            <v>0</v>
          </cell>
        </row>
        <row r="6125">
          <cell r="A6125" t="str">
            <v>644E00721</v>
          </cell>
          <cell r="B6125" t="str">
            <v>Y</v>
          </cell>
          <cell r="C6125" t="str">
            <v>FT</v>
          </cell>
          <cell r="D6125" t="str">
            <v>CHEVRON MARKING, AS PER PLAN</v>
          </cell>
          <cell r="F6125" t="str">
            <v>AKRON SPECIFICATIONS</v>
          </cell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 t="str">
            <v>AKRON SPECIFICATIONS</v>
          </cell>
          <cell r="G6126">
            <v>0</v>
          </cell>
        </row>
        <row r="6127">
          <cell r="A6127" t="str">
            <v>644E00900</v>
          </cell>
          <cell r="B6127" t="str">
            <v>Y</v>
          </cell>
          <cell r="C6127" t="str">
            <v>SF</v>
          </cell>
          <cell r="D6127" t="str">
            <v>ISLAND MARKING</v>
          </cell>
          <cell r="F6127" t="str">
            <v>AKRON SPECIFICATIONS</v>
          </cell>
          <cell r="G6127">
            <v>0</v>
          </cell>
        </row>
        <row r="6128">
          <cell r="A6128" t="str">
            <v>644E00901</v>
          </cell>
          <cell r="B6128" t="str">
            <v>Y</v>
          </cell>
          <cell r="C6128" t="str">
            <v>SF</v>
          </cell>
          <cell r="D6128" t="str">
            <v>ISLAND MARKING, AS PER PLAN</v>
          </cell>
          <cell r="F6128" t="str">
            <v>AKRON SPECIFICATIONS</v>
          </cell>
          <cell r="G6128">
            <v>0</v>
          </cell>
        </row>
        <row r="6129">
          <cell r="A6129" t="str">
            <v>644E01000</v>
          </cell>
          <cell r="B6129" t="str">
            <v>Y</v>
          </cell>
          <cell r="C6129" t="str">
            <v>EACH</v>
          </cell>
          <cell r="D6129" t="str">
            <v>RAILROAD SYMBOL MARKING</v>
          </cell>
          <cell r="F6129" t="str">
            <v>AKRON SPECIFICATIONS</v>
          </cell>
          <cell r="G6129">
            <v>0</v>
          </cell>
        </row>
        <row r="6130">
          <cell r="A6130" t="str">
            <v>644E01001</v>
          </cell>
          <cell r="B6130" t="str">
            <v>Y</v>
          </cell>
          <cell r="C6130" t="str">
            <v>EACH</v>
          </cell>
          <cell r="D6130" t="str">
            <v>RAILROAD SYMBOL MARKING, AS PER PLAN</v>
          </cell>
          <cell r="F6130" t="str">
            <v>AKRON SPECIFICATIONS</v>
          </cell>
          <cell r="G6130">
            <v>0</v>
          </cell>
        </row>
        <row r="6131">
          <cell r="A6131" t="str">
            <v>644E01100</v>
          </cell>
          <cell r="B6131" t="str">
            <v>Y</v>
          </cell>
          <cell r="C6131" t="str">
            <v>EACH</v>
          </cell>
          <cell r="D6131" t="str">
            <v>SCHOOL SYMBOL MARKING, 72"</v>
          </cell>
          <cell r="F6131" t="str">
            <v>AKRON SPECIFICATIONS</v>
          </cell>
          <cell r="G6131">
            <v>0</v>
          </cell>
        </row>
        <row r="6132">
          <cell r="A6132" t="str">
            <v>644E01110</v>
          </cell>
          <cell r="B6132" t="str">
            <v>Y</v>
          </cell>
          <cell r="C6132" t="str">
            <v>EACH</v>
          </cell>
          <cell r="D6132" t="str">
            <v>SCHOOL SYMBOL MARKING, 96"</v>
          </cell>
          <cell r="F6132" t="str">
            <v>AKRON SPECIFICATIONS</v>
          </cell>
          <cell r="G6132">
            <v>0</v>
          </cell>
        </row>
        <row r="6133">
          <cell r="A6133" t="str">
            <v>644E01111</v>
          </cell>
          <cell r="B6133" t="str">
            <v>Y</v>
          </cell>
          <cell r="C6133" t="str">
            <v>EACH</v>
          </cell>
          <cell r="D6133" t="str">
            <v>SCHOOL SYMBOL MARKING, 96", AS PER PLAN</v>
          </cell>
          <cell r="F6133" t="str">
            <v>AKRON SPECIFICATIONS</v>
          </cell>
          <cell r="G6133">
            <v>0</v>
          </cell>
        </row>
        <row r="6134">
          <cell r="A6134" t="str">
            <v>644E01120</v>
          </cell>
          <cell r="B6134" t="str">
            <v>Y</v>
          </cell>
          <cell r="C6134" t="str">
            <v>EACH</v>
          </cell>
          <cell r="D6134" t="str">
            <v>SCHOOL SYMBOL MARKING, 120"</v>
          </cell>
          <cell r="F6134" t="str">
            <v>AKRON SPECIFICATIONS</v>
          </cell>
          <cell r="G6134">
            <v>0</v>
          </cell>
        </row>
        <row r="6135">
          <cell r="A6135" t="str">
            <v>644E01121</v>
          </cell>
          <cell r="B6135" t="str">
            <v>Y</v>
          </cell>
          <cell r="C6135" t="str">
            <v>EACH</v>
          </cell>
          <cell r="D6135" t="str">
            <v>SCHOOL SYMBOL MARKING, 120", AS PER PLAN</v>
          </cell>
          <cell r="F6135" t="str">
            <v>AKRON SPECIFICATIONS</v>
          </cell>
          <cell r="G6135">
            <v>0</v>
          </cell>
        </row>
        <row r="6136">
          <cell r="A6136" t="str">
            <v>644E01200</v>
          </cell>
          <cell r="B6136" t="str">
            <v>Y</v>
          </cell>
          <cell r="C6136" t="str">
            <v>FT</v>
          </cell>
          <cell r="D6136" t="str">
            <v>PARKING LOT STALL MARKING</v>
          </cell>
          <cell r="F6136" t="str">
            <v>AKRON SPECIFICATIONS</v>
          </cell>
          <cell r="G6136">
            <v>0</v>
          </cell>
        </row>
        <row r="6137">
          <cell r="A6137" t="str">
            <v>644E01201</v>
          </cell>
          <cell r="B6137" t="str">
            <v>Y</v>
          </cell>
          <cell r="C6137" t="str">
            <v>FT</v>
          </cell>
          <cell r="D6137" t="str">
            <v>PARKING LOT STALL MARKING, AS PER PLAN</v>
          </cell>
          <cell r="F6137" t="str">
            <v>AKRON SPECIFICATIONS</v>
          </cell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 t="str">
            <v>AKRON SPECIFICATIONS</v>
          </cell>
          <cell r="G6138">
            <v>0</v>
          </cell>
        </row>
        <row r="6139">
          <cell r="A6139" t="str">
            <v>644E01301</v>
          </cell>
          <cell r="B6139" t="str">
            <v>Y</v>
          </cell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 t="str">
            <v>Y</v>
          </cell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 t="str">
            <v>Y</v>
          </cell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 t="str">
            <v>Y</v>
          </cell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 t="str">
            <v>Y</v>
          </cell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 t="str">
            <v>Y</v>
          </cell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 t="str">
            <v>Y</v>
          </cell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 t="str">
            <v>Y</v>
          </cell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 t="str">
            <v>Y</v>
          </cell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 t="str">
            <v>Y</v>
          </cell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 t="str">
            <v>Y</v>
          </cell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 t="str">
            <v>Y</v>
          </cell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 t="str">
            <v>Y</v>
          </cell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 t="str">
            <v>Y</v>
          </cell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 t="str">
            <v>Y</v>
          </cell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 t="str">
            <v>Y</v>
          </cell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 t="str">
            <v>Y</v>
          </cell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 t="str">
            <v>Y</v>
          </cell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 t="str">
            <v>Y</v>
          </cell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 t="str">
            <v>Y</v>
          </cell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 t="str">
            <v>Y</v>
          </cell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 t="str">
            <v>Y</v>
          </cell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 t="str">
            <v>Y</v>
          </cell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 t="str">
            <v>Y</v>
          </cell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 t="str">
            <v>Y</v>
          </cell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 t="str">
            <v>Y</v>
          </cell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 t="str">
            <v>Y</v>
          </cell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 t="str">
            <v>Y</v>
          </cell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 t="str">
            <v>Y</v>
          </cell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 t="str">
            <v>Y</v>
          </cell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 t="str">
            <v>Y</v>
          </cell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 t="str">
            <v>Y</v>
          </cell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 t="str">
            <v>Y</v>
          </cell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 t="str">
            <v>Y</v>
          </cell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 t="str">
            <v>Y</v>
          </cell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 t="str">
            <v>Y</v>
          </cell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 t="str">
            <v>Y</v>
          </cell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 t="str">
            <v>Y</v>
          </cell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 t="str">
            <v>Y</v>
          </cell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 t="str">
            <v>Y</v>
          </cell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 t="str">
            <v>Y</v>
          </cell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 t="str">
            <v>Y</v>
          </cell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 t="str">
            <v>Y</v>
          </cell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 t="str">
            <v>Y</v>
          </cell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 t="str">
            <v>Y</v>
          </cell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 t="str">
            <v>Y</v>
          </cell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 t="str">
            <v>Y</v>
          </cell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 t="str">
            <v>Y</v>
          </cell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 t="str">
            <v>Y</v>
          </cell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 t="str">
            <v>Y</v>
          </cell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 t="str">
            <v>Y</v>
          </cell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 t="str">
            <v>Y</v>
          </cell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 t="str">
            <v>Y</v>
          </cell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 t="str">
            <v>Y</v>
          </cell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 t="str">
            <v>Y</v>
          </cell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 t="str">
            <v>Y</v>
          </cell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 t="str">
            <v>Y</v>
          </cell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 t="str">
            <v>Y</v>
          </cell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 t="str">
            <v>Y</v>
          </cell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 t="str">
            <v>Y</v>
          </cell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 t="str">
            <v>Y</v>
          </cell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 t="str">
            <v>Y</v>
          </cell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 t="str">
            <v>Y</v>
          </cell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 t="str">
            <v>Y</v>
          </cell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 t="str">
            <v>Y</v>
          </cell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 t="str">
            <v>Y</v>
          </cell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 t="str">
            <v>Y</v>
          </cell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 t="str">
            <v>Y</v>
          </cell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 t="str">
            <v>Y</v>
          </cell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 t="str">
            <v>Y</v>
          </cell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 t="str">
            <v>Y</v>
          </cell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 t="str">
            <v>Y</v>
          </cell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 t="str">
            <v>Y</v>
          </cell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 t="str">
            <v>Y</v>
          </cell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 t="str">
            <v>Y</v>
          </cell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 t="str">
            <v>Y</v>
          </cell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 t="str">
            <v>Y</v>
          </cell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 t="str">
            <v>Y</v>
          </cell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 t="str">
            <v>Y</v>
          </cell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 t="str">
            <v>Y</v>
          </cell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 t="str">
            <v>Y</v>
          </cell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 t="str">
            <v>Y</v>
          </cell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 t="str">
            <v>Y</v>
          </cell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 t="str">
            <v>Y</v>
          </cell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 t="str">
            <v>Y</v>
          </cell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 t="str">
            <v>Y</v>
          </cell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 t="str">
            <v>Y</v>
          </cell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 t="str">
            <v>Y</v>
          </cell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 t="str">
            <v>Y</v>
          </cell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 t="str">
            <v>Y</v>
          </cell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 t="str">
            <v>Y</v>
          </cell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 t="str">
            <v>Y</v>
          </cell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 t="str">
            <v>Y</v>
          </cell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 t="str">
            <v>Y</v>
          </cell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 t="str">
            <v>Y</v>
          </cell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 t="str">
            <v>Y</v>
          </cell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 t="str">
            <v>Y</v>
          </cell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 t="str">
            <v>Y</v>
          </cell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 t="str">
            <v>Y</v>
          </cell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 t="str">
            <v>Y</v>
          </cell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 t="str">
            <v>Y</v>
          </cell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 t="str">
            <v>Y</v>
          </cell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 t="str">
            <v>Y</v>
          </cell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 t="str">
            <v>Y</v>
          </cell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 t="str">
            <v>Y</v>
          </cell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 t="str">
            <v>Y</v>
          </cell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 t="str">
            <v>Y</v>
          </cell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 t="str">
            <v>Y</v>
          </cell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 t="str">
            <v>Y</v>
          </cell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 t="str">
            <v>Y</v>
          </cell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 t="str">
            <v>Y</v>
          </cell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 t="str">
            <v>Y</v>
          </cell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 t="str">
            <v>Y</v>
          </cell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 t="str">
            <v>Y</v>
          </cell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 t="str">
            <v>Y</v>
          </cell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 t="str">
            <v>Y</v>
          </cell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 t="str">
            <v>Y</v>
          </cell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 t="str">
            <v>Y</v>
          </cell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 t="str">
            <v>Y</v>
          </cell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 t="str">
            <v>Y</v>
          </cell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 t="str">
            <v>Y</v>
          </cell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 t="str">
            <v>Y</v>
          </cell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 t="str">
            <v>Y</v>
          </cell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 t="str">
            <v>Y</v>
          </cell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 t="str">
            <v>Y</v>
          </cell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 t="str">
            <v>Y</v>
          </cell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 t="str">
            <v>Y</v>
          </cell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 t="str">
            <v>Y</v>
          </cell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 t="str">
            <v>Y</v>
          </cell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 t="str">
            <v>Y</v>
          </cell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 t="str">
            <v>Y</v>
          </cell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 t="str">
            <v>Y</v>
          </cell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 t="str">
            <v>Y</v>
          </cell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 t="str">
            <v>Y</v>
          </cell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 t="str">
            <v>Y</v>
          </cell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 t="str">
            <v>Y</v>
          </cell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 t="str">
            <v>Y</v>
          </cell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 t="str">
            <v>Y</v>
          </cell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 t="str">
            <v>Y</v>
          </cell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 t="str">
            <v>Y</v>
          </cell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 t="str">
            <v>Y</v>
          </cell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 t="str">
            <v>Y</v>
          </cell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 t="str">
            <v>Y</v>
          </cell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 t="str">
            <v>Y</v>
          </cell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 t="str">
            <v>Y</v>
          </cell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 t="str">
            <v>Y</v>
          </cell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 t="str">
            <v>Y</v>
          </cell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 t="str">
            <v>Y</v>
          </cell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 t="str">
            <v>Y</v>
          </cell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 t="str">
            <v>Y</v>
          </cell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 t="str">
            <v>Y</v>
          </cell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 t="str">
            <v>Y</v>
          </cell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 t="str">
            <v>Y</v>
          </cell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 t="str">
            <v>Y</v>
          </cell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 t="str">
            <v>Y</v>
          </cell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 t="str">
            <v>Y</v>
          </cell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 t="str">
            <v>Y</v>
          </cell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 t="str">
            <v>Y</v>
          </cell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 t="str">
            <v>Y</v>
          </cell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 t="str">
            <v>Y</v>
          </cell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 t="str">
            <v>Y</v>
          </cell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 t="str">
            <v>Y</v>
          </cell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 t="str">
            <v>Y</v>
          </cell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 t="str">
            <v>Y</v>
          </cell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 t="str">
            <v>Y</v>
          </cell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 t="str">
            <v>Y</v>
          </cell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 t="str">
            <v>Y</v>
          </cell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 t="str">
            <v>Y</v>
          </cell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 t="str">
            <v>Y</v>
          </cell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 t="str">
            <v>Y</v>
          </cell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 t="str">
            <v>Y</v>
          </cell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 t="str">
            <v>Y</v>
          </cell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 t="str">
            <v>Y</v>
          </cell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 t="str">
            <v>Y</v>
          </cell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 t="str">
            <v>Y</v>
          </cell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 t="str">
            <v>Y</v>
          </cell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 t="str">
            <v>Y</v>
          </cell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 t="str">
            <v>Y</v>
          </cell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 t="str">
            <v>Y</v>
          </cell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 t="str">
            <v>Y</v>
          </cell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 t="str">
            <v>Y</v>
          </cell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 t="str">
            <v>Y</v>
          </cell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 t="str">
            <v>Y</v>
          </cell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 t="str">
            <v>Y</v>
          </cell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 t="str">
            <v>Y</v>
          </cell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 t="str">
            <v>Y</v>
          </cell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 t="str">
            <v>Y</v>
          </cell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 t="str">
            <v>Y</v>
          </cell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 t="str">
            <v>Y</v>
          </cell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 t="str">
            <v>Y</v>
          </cell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 t="str">
            <v>Y</v>
          </cell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 t="str">
            <v>Y</v>
          </cell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 t="str">
            <v>Y</v>
          </cell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 t="str">
            <v>Y</v>
          </cell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 t="str">
            <v>Y</v>
          </cell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 t="str">
            <v>Y</v>
          </cell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 t="str">
            <v>Y</v>
          </cell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 t="str">
            <v>Y</v>
          </cell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 t="str">
            <v>Y</v>
          </cell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 t="str">
            <v>Y</v>
          </cell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 t="str">
            <v>Y</v>
          </cell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 t="str">
            <v>Y</v>
          </cell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 t="str">
            <v>Y</v>
          </cell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 t="str">
            <v>Y</v>
          </cell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 t="str">
            <v>Y</v>
          </cell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 t="str">
            <v>Y</v>
          </cell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 t="str">
            <v>Y</v>
          </cell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 t="str">
            <v>Y</v>
          </cell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 t="str">
            <v>Y</v>
          </cell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 t="str">
            <v>Y</v>
          </cell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 t="str">
            <v>Y</v>
          </cell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 t="str">
            <v>Y</v>
          </cell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 t="str">
            <v>Y</v>
          </cell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 t="str">
            <v>Y</v>
          </cell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 t="str">
            <v>Y</v>
          </cell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 t="str">
            <v>Y</v>
          </cell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 t="str">
            <v>Y</v>
          </cell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 t="str">
            <v>Y</v>
          </cell>
          <cell r="C6360" t="str">
            <v>SF</v>
          </cell>
          <cell r="D6360" t="str">
            <v>GREEN COLORED PAVEMENT FOR BIKE LANES, TYPE A1</v>
          </cell>
          <cell r="F6360" t="str">
            <v>SPECIFY SIZE</v>
          </cell>
          <cell r="G6360">
            <v>0</v>
          </cell>
        </row>
        <row r="6361">
          <cell r="A6361" t="str">
            <v>645E60010</v>
          </cell>
          <cell r="B6361" t="str">
            <v>Y</v>
          </cell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 t="str">
            <v>Y</v>
          </cell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 t="str">
            <v>Y</v>
          </cell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 t="str">
            <v>Y</v>
          </cell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 t="str">
            <v>Y</v>
          </cell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 t="str">
            <v>Y</v>
          </cell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 t="str">
            <v>Y</v>
          </cell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 t="str">
            <v>Y</v>
          </cell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 t="str">
            <v>Y</v>
          </cell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 t="str">
            <v>Y</v>
          </cell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 t="str">
            <v>Y</v>
          </cell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 t="str">
            <v>Y</v>
          </cell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 t="str">
            <v>Y</v>
          </cell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 t="str">
            <v>Y</v>
          </cell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 t="str">
            <v>Y</v>
          </cell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 t="str">
            <v>Y</v>
          </cell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 t="str">
            <v>Y</v>
          </cell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 t="str">
            <v>Y</v>
          </cell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 t="str">
            <v>Y</v>
          </cell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 t="str">
            <v>Y</v>
          </cell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 t="str">
            <v>Y</v>
          </cell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 t="str">
            <v>Y</v>
          </cell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 t="str">
            <v>Y</v>
          </cell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 t="str">
            <v>Y</v>
          </cell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 t="str">
            <v>Y</v>
          </cell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 t="str">
            <v>Y</v>
          </cell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 t="str">
            <v>Y</v>
          </cell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 t="str">
            <v>Y</v>
          </cell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 t="str">
            <v>Y</v>
          </cell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 t="str">
            <v>Y</v>
          </cell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 t="str">
            <v>Y</v>
          </cell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 t="str">
            <v>Y</v>
          </cell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 t="str">
            <v>Y</v>
          </cell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 t="str">
            <v>Y</v>
          </cell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 t="str">
            <v>Y</v>
          </cell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 t="str">
            <v>Y</v>
          </cell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 t="str">
            <v>Y</v>
          </cell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 t="str">
            <v>Y</v>
          </cell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 t="str">
            <v>Y</v>
          </cell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 t="str">
            <v>Y</v>
          </cell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 t="str">
            <v>Y</v>
          </cell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 t="str">
            <v>Y</v>
          </cell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 t="str">
            <v>Y</v>
          </cell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 t="str">
            <v>Y</v>
          </cell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 t="str">
            <v>Y</v>
          </cell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 t="str">
            <v>Y</v>
          </cell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 t="str">
            <v>Y</v>
          </cell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 t="str">
            <v>Y</v>
          </cell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 t="str">
            <v>Y</v>
          </cell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 t="str">
            <v>Y</v>
          </cell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 t="str">
            <v>Y</v>
          </cell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 t="str">
            <v>Y</v>
          </cell>
          <cell r="C6412" t="str">
            <v>FT</v>
          </cell>
          <cell r="D6412" t="str">
            <v>DOTTED LINE, 4"</v>
          </cell>
          <cell r="F6412" t="str">
            <v>SPECIFY SIZE</v>
          </cell>
          <cell r="G6412">
            <v>0</v>
          </cell>
        </row>
        <row r="6413">
          <cell r="A6413" t="str">
            <v>646E20504</v>
          </cell>
          <cell r="B6413" t="str">
            <v>Y</v>
          </cell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 t="str">
            <v>Y</v>
          </cell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 t="str">
            <v>Y</v>
          </cell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 t="str">
            <v>Y</v>
          </cell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 t="str">
            <v>Y</v>
          </cell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 t="str">
            <v>Y</v>
          </cell>
          <cell r="C6418" t="str">
            <v>EACH</v>
          </cell>
          <cell r="D6418" t="str">
            <v>SHARED LANE MARKING</v>
          </cell>
          <cell r="F6418" t="str">
            <v>SPECIFY SIZE</v>
          </cell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 t="str">
            <v>Y</v>
          </cell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 t="str">
            <v>Y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 t="str">
            <v>Y</v>
          </cell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 t="str">
            <v>Y</v>
          </cell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 t="str">
            <v>Y</v>
          </cell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 t="str">
            <v>Y</v>
          </cell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 t="str">
            <v>Y</v>
          </cell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 t="str">
            <v>Y</v>
          </cell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 t="str">
            <v>Y</v>
          </cell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 t="str">
            <v>Y</v>
          </cell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 t="str">
            <v>Y</v>
          </cell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 t="str">
            <v>Y</v>
          </cell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 t="str">
            <v>Y</v>
          </cell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 t="str">
            <v>Y</v>
          </cell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 t="str">
            <v>Y</v>
          </cell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 t="str">
            <v>Y</v>
          </cell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 t="str">
            <v>Y</v>
          </cell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 t="str">
            <v>Y</v>
          </cell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 t="str">
            <v>Y</v>
          </cell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 t="str">
            <v>Y</v>
          </cell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 t="str">
            <v>Y</v>
          </cell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 t="str">
            <v>Y</v>
          </cell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 t="str">
            <v>Y</v>
          </cell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 t="str">
            <v>Y</v>
          </cell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 t="str">
            <v>Y</v>
          </cell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 t="str">
            <v>Y</v>
          </cell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 t="str">
            <v>Y</v>
          </cell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 t="str">
            <v>Y</v>
          </cell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 t="str">
            <v>Y</v>
          </cell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 t="str">
            <v>Y</v>
          </cell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 t="str">
            <v>Y</v>
          </cell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 t="str">
            <v>Y</v>
          </cell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 t="str">
            <v>Y</v>
          </cell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 t="str">
            <v>ADD SUPPLEMENTAL DESCRIPTION</v>
          </cell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 t="str">
            <v>ADD SUPPLEMENTAL DESCRIPTION</v>
          </cell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 t="str">
            <v>ADD SUPPLEMENTAL DESCRIPTION</v>
          </cell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 t="str">
            <v>ADD SUPPLEMENTAL DESCRIPTION</v>
          </cell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 t="str">
            <v>ADD SUPPLEMENTAL DESCRIPTION</v>
          </cell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 t="str">
            <v>ADD SUPPLEMENTAL DESCRIPTION</v>
          </cell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 t="str">
            <v>ADD SUPPLEMENTAL DESCRIPTION</v>
          </cell>
          <cell r="G6460">
            <v>0</v>
          </cell>
        </row>
        <row r="6461">
          <cell r="A6461" t="str">
            <v>647E20200</v>
          </cell>
          <cell r="B6461" t="str">
            <v>Y</v>
          </cell>
          <cell r="C6461" t="str">
            <v>EACH</v>
          </cell>
          <cell r="D6461" t="str">
            <v>HANDICAP SYMBOL MARKING, TYPE A90</v>
          </cell>
          <cell r="F6461" t="str">
            <v>DESIGN BUILD PROJECTS ONLY</v>
          </cell>
          <cell r="G6461">
            <v>0</v>
          </cell>
        </row>
        <row r="6462">
          <cell r="A6462" t="str">
            <v>647E20202</v>
          </cell>
          <cell r="B6462" t="str">
            <v>Y</v>
          </cell>
          <cell r="C6462" t="str">
            <v>EACH</v>
          </cell>
          <cell r="D6462" t="str">
            <v>HANDICAP SYMBOL MARKING, TYPE A125</v>
          </cell>
          <cell r="F6462" t="str">
            <v>DESIGN BUILD PROJECTS ONLY</v>
          </cell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 t="str">
            <v>Y</v>
          </cell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 t="str">
            <v>Y</v>
          </cell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 t="str">
            <v>ADD SUPPLEMENTAL DESCRIPTION</v>
          </cell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 t="str">
            <v>ADD SUPPLEMENTAL DESCRIPTION</v>
          </cell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 t="str">
            <v>ADD SUPPLEMENTAL DESCRIPTION</v>
          </cell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 t="str">
            <v>Y</v>
          </cell>
          <cell r="C6621" t="str">
            <v>SY</v>
          </cell>
          <cell r="D6621" t="str">
            <v>SODDING REINFORCED, AS PER PLAN</v>
          </cell>
          <cell r="F6621" t="str">
            <v>DESIGN BUILD PROJECTS ONLY</v>
          </cell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 t="str">
            <v>Y</v>
          </cell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 t="str">
            <v>Y</v>
          </cell>
          <cell r="C6745" t="str">
            <v>SY</v>
          </cell>
          <cell r="D6745" t="str">
            <v>DITCH EROSION PROTECTION</v>
          </cell>
          <cell r="F6745" t="str">
            <v>CHECK UNIT OF MEASURE</v>
          </cell>
          <cell r="G6745">
            <v>0</v>
          </cell>
        </row>
        <row r="6746">
          <cell r="A6746" t="str">
            <v>670E00701</v>
          </cell>
          <cell r="B6746" t="str">
            <v>Y</v>
          </cell>
          <cell r="C6746" t="str">
            <v>SY</v>
          </cell>
          <cell r="D6746" t="str">
            <v>DITCH EROSION PROTECTION, AS PER PLAN</v>
          </cell>
          <cell r="F6746" t="str">
            <v>CHECK UNIT OF MEASURE</v>
          </cell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 t="str">
            <v>ADD SUPPLEMENTAL DESCRIPTION</v>
          </cell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 t="str">
            <v>ADD SUPPLEMENTAL DESCRIPTION</v>
          </cell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 t="str">
            <v>ADD SUPPLEMENTAL DESCRIPTION</v>
          </cell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 t="str">
            <v>ADD SUPPLEMENTAL DESCRIPTION</v>
          </cell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 t="str">
            <v>Y</v>
          </cell>
          <cell r="C6752" t="str">
            <v>SY</v>
          </cell>
          <cell r="D6752" t="str">
            <v>DITCH EROSION PROTECTION MAT, TYPE G</v>
          </cell>
          <cell r="F6752" t="str">
            <v>DESIGN BUILD PROJECTS ONLY</v>
          </cell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 t="str">
            <v>Y</v>
          </cell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 t="str">
            <v>Y</v>
          </cell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 t="str">
            <v>Y</v>
          </cell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 t="str">
            <v>ADD SUPPLEMENTAL DESCRIPTION</v>
          </cell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 t="str">
            <v>ADD SUPPLEMENTAL DESCRIPTION</v>
          </cell>
          <cell r="G7005">
            <v>0</v>
          </cell>
        </row>
        <row r="7006">
          <cell r="A7006" t="str">
            <v>804E32000</v>
          </cell>
          <cell r="B7006" t="str">
            <v>Y</v>
          </cell>
          <cell r="C7006" t="str">
            <v>EACH</v>
          </cell>
          <cell r="D7006" t="str">
            <v>DROP CABLE, 6 FIBER</v>
          </cell>
          <cell r="F7006" t="str">
            <v>DESIGN BUILD PROJECTS ONLY</v>
          </cell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 t="str">
            <v>ADD SUPPLEMENTAL DESCRIPTION</v>
          </cell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 t="str">
            <v>ADD SUPPLEMENTAL DESCRIPTION</v>
          </cell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 t="str">
            <v>ADD SUPPLEMENTAL DESCRIPTION</v>
          </cell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 t="str">
            <v>ADD SUPPLEMENTAL DESCRIPTION</v>
          </cell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 t="str">
            <v>ADD SUPPLEMENTAL DESCRIPTION</v>
          </cell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 t="str">
            <v>ADD SUPPLEMENTAL DESCRIPTION</v>
          </cell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 t="str">
            <v>ADD SUPPLEMENTAL DESCRIPTION</v>
          </cell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 t="str">
            <v>ADD SUPPLEMENTAL DESCRIPTION</v>
          </cell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 t="str">
            <v>ADD SUPPLEMENTAL DESCRIPTION</v>
          </cell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 t="str">
            <v>ADD SUPPLEMENTAL DESCRIPTION</v>
          </cell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 t="str">
            <v>ADD SUPPLEMENTAL DESCRIPTION</v>
          </cell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 t="str">
            <v>ADD SUPPLEMENTAL DESCRIPTION</v>
          </cell>
          <cell r="G7192">
            <v>0</v>
          </cell>
        </row>
        <row r="7193">
          <cell r="A7193" t="str">
            <v>840E20001</v>
          </cell>
          <cell r="B7193" t="str">
            <v>Y</v>
          </cell>
          <cell r="C7193" t="str">
            <v>SF</v>
          </cell>
          <cell r="D7193" t="str">
            <v>MECHANICALLY STABILIZED EARTH WALL, AS PER PLAN</v>
          </cell>
          <cell r="F7193" t="str">
            <v>DESIGN BUILD PROJECTS ONLY</v>
          </cell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 t="str">
            <v>SPECIFY TYPE</v>
          </cell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 t="str">
            <v>SPECIFY TYPE</v>
          </cell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 t="str">
            <v>SPECIFY TYPE</v>
          </cell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 t="str">
            <v>SPECIFY TYPE</v>
          </cell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 t="str">
            <v>SPECIFY TYPE</v>
          </cell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 t="str">
            <v>SPECIFY TYPE AND CONDITION</v>
          </cell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 t="str">
            <v>SPECIFY TYPE AND CONDITION</v>
          </cell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 t="str">
            <v>SPECIFY TYPE AND CONDITION</v>
          </cell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 t="str">
            <v>SPECIFY TYPE AND CONDITION</v>
          </cell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 t="str">
            <v>SPECIFY TYPE AND CONDITION</v>
          </cell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 t="str">
            <v>SPECIFY TYPE AND CONDITION</v>
          </cell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 t="str">
            <v>SPECIFY TYPE AND CONDITION</v>
          </cell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 t="str">
            <v>SPECIFY TYPE AND CONDITION</v>
          </cell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 t="str">
            <v>SPECIFY TYPE AND CONDITION</v>
          </cell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 t="str">
            <v>SPECIFY TYPE AND CONDITION</v>
          </cell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 t="str">
            <v>SPECIFY TYPE AND CONDITION</v>
          </cell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 t="str">
            <v>SPECIFY TYPE AND CONDITION</v>
          </cell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 t="str">
            <v>SPECIFY TYPE AND CONDITION</v>
          </cell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 t="str">
            <v>SPECIFY TYPE AND CONDITION</v>
          </cell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 t="str">
            <v>SPECIFY TYPE AND CONDITION</v>
          </cell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 t="str">
            <v>SPECIFY TYPE AND CONDITION</v>
          </cell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 t="str">
            <v>SPECIFY TYPE AND CONDITION</v>
          </cell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 t="str">
            <v>SPECIFY TYPE AND CONDITION</v>
          </cell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 t="str">
            <v>SPECIFY TYPE AND CONDITION</v>
          </cell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 t="str">
            <v>SPECIFY TYPE AND CONDITION</v>
          </cell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 t="str">
            <v>SPECIFY TYPE AND CONDITION</v>
          </cell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 t="str">
            <v>SPECIFY TYPE</v>
          </cell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 t="str">
            <v>SPECIFY TYPE AND CONDITION</v>
          </cell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 t="str">
            <v>SPECIFY TYPE AND CONDITION</v>
          </cell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 t="str">
            <v>SPECIFY TYPE AND CONDITION</v>
          </cell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 t="str">
            <v>SPECIFY TYPE AND CONDITION</v>
          </cell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 t="str">
            <v>SPECIFY TYPE AND CONDITION</v>
          </cell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 t="str">
            <v>SPECIFY TYPE AND CONDITION</v>
          </cell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 t="str">
            <v>SPECIFY TYPE AND CONDITION</v>
          </cell>
          <cell r="G7286">
            <v>0</v>
          </cell>
        </row>
        <row r="7287">
          <cell r="A7287" t="str">
            <v>855E00010</v>
          </cell>
          <cell r="B7287" t="str">
            <v>Y</v>
          </cell>
          <cell r="C7287" t="str">
            <v>LB</v>
          </cell>
          <cell r="D7287" t="str">
            <v>POST-TENSIONING STRAND TENDON</v>
          </cell>
          <cell r="F7287" t="str">
            <v>DESIGN BUILD PROJECTS ONLY</v>
          </cell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 t="str">
            <v>ADD SUPPLEMENTAL DESCRIPTION</v>
          </cell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 t="str">
            <v>ADD SUPPLEMENTAL DESCRIPTION</v>
          </cell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 t="str">
            <v>ADD SUPPLEMENTAL DESCRIPTION</v>
          </cell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 t="str">
            <v>ADD SUPPLEMENTAL DESCRIPTION</v>
          </cell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 t="str">
            <v>ADD SUPPLEMENTAL DESCRIPTION</v>
          </cell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 t="str">
            <v>ADD SUPPLEMENTAL DESCRIPTION</v>
          </cell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 t="str">
            <v>Y</v>
          </cell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 t="str">
            <v>Y</v>
          </cell>
          <cell r="C7345" t="str">
            <v>FT</v>
          </cell>
          <cell r="D7345" t="str">
            <v>WORK ZONE GORE MARKING, CLASS II</v>
          </cell>
          <cell r="F7345" t="str">
            <v>GENERAL ONLY</v>
          </cell>
          <cell r="G7345">
            <v>0</v>
          </cell>
        </row>
        <row r="7346">
          <cell r="A7346" t="str">
            <v>873E25000</v>
          </cell>
          <cell r="B7346" t="str">
            <v>Y</v>
          </cell>
          <cell r="C7346" t="str">
            <v>FT</v>
          </cell>
          <cell r="D7346" t="str">
            <v>WORK ZONE STOP LINE, CLASS I</v>
          </cell>
          <cell r="F7346" t="str">
            <v>NO ELEC/PLBG</v>
          </cell>
          <cell r="G7346">
            <v>0</v>
          </cell>
        </row>
        <row r="7347">
          <cell r="A7347" t="str">
            <v>873E26000</v>
          </cell>
          <cell r="B7347" t="str">
            <v>Y</v>
          </cell>
          <cell r="C7347" t="str">
            <v>FT</v>
          </cell>
          <cell r="D7347" t="str">
            <v>WORK ZONE CROSSWALK LINE, CLASS I</v>
          </cell>
          <cell r="F7347" t="str">
            <v>GENERAL ONLY</v>
          </cell>
          <cell r="G7347">
            <v>0</v>
          </cell>
        </row>
        <row r="7348">
          <cell r="A7348" t="str">
            <v>873E27000</v>
          </cell>
          <cell r="B7348" t="str">
            <v>Y</v>
          </cell>
          <cell r="C7348" t="str">
            <v>FT</v>
          </cell>
          <cell r="D7348" t="str">
            <v>WORK ZONE DOTTED LINE, CLASS I</v>
          </cell>
          <cell r="F7348" t="str">
            <v>GENERAL ONLY</v>
          </cell>
          <cell r="G7348">
            <v>0</v>
          </cell>
        </row>
        <row r="7349">
          <cell r="A7349" t="str">
            <v>874E10000</v>
          </cell>
          <cell r="B7349" t="str">
            <v>Y</v>
          </cell>
          <cell r="C7349" t="str">
            <v>CY</v>
          </cell>
          <cell r="D7349" t="str">
            <v>ULTRATHIN BONDED ASPHALT CONCRETE</v>
          </cell>
          <cell r="F7349" t="str">
            <v>GENERAL ONLY</v>
          </cell>
          <cell r="G7349">
            <v>0</v>
          </cell>
        </row>
        <row r="7350">
          <cell r="A7350" t="str">
            <v>874E10001</v>
          </cell>
          <cell r="B7350" t="str">
            <v>Y</v>
          </cell>
          <cell r="C7350" t="str">
            <v>CY</v>
          </cell>
          <cell r="D7350" t="str">
            <v>ULTRATHIN BONDED ASPHALT CONCRETE, AS PER PLAN</v>
          </cell>
          <cell r="F7350" t="str">
            <v>GENERAL ONLY</v>
          </cell>
          <cell r="G7350">
            <v>0</v>
          </cell>
        </row>
        <row r="7351">
          <cell r="A7351" t="str">
            <v>874E10020</v>
          </cell>
          <cell r="B7351" t="str">
            <v>Y</v>
          </cell>
          <cell r="C7351" t="str">
            <v>CY</v>
          </cell>
          <cell r="D7351" t="str">
            <v>ULTRATHIN BONDED ASPHALT CONCRETE, WITH SUPPLEMENT 1059 WARRANTY</v>
          </cell>
          <cell r="F7351" t="str">
            <v>GENERAL ONLY</v>
          </cell>
          <cell r="G7351">
            <v>0</v>
          </cell>
        </row>
        <row r="7352">
          <cell r="A7352" t="str">
            <v>874E10021</v>
          </cell>
          <cell r="B7352" t="str">
            <v>Y</v>
          </cell>
          <cell r="C7352" t="str">
            <v>CY</v>
          </cell>
          <cell r="D7352" t="str">
            <v>ULTRATHIN BONDED ASPHALT CONCRETE, WITH SUPPLEMENT 1059 WARRANTY, AS PER PLAN</v>
          </cell>
          <cell r="F7352" t="str">
            <v>GENERAL ONLY</v>
          </cell>
          <cell r="G7352">
            <v>0</v>
          </cell>
        </row>
        <row r="7353">
          <cell r="A7353" t="str">
            <v>875E10000</v>
          </cell>
          <cell r="B7353" t="str">
            <v>Y</v>
          </cell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 t="str">
            <v>Y</v>
          </cell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 t="str">
            <v>Y</v>
          </cell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 t="str">
            <v>Y</v>
          </cell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 t="str">
            <v>Y</v>
          </cell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 t="str">
            <v>Y</v>
          </cell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 t="str">
            <v>Y</v>
          </cell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 t="str">
            <v>Y</v>
          </cell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 t="str">
            <v>Y</v>
          </cell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 t="str">
            <v>Y</v>
          </cell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 t="str">
            <v>Y</v>
          </cell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 t="str">
            <v>Y</v>
          </cell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 t="str">
            <v>Y</v>
          </cell>
          <cell r="C7367" t="str">
            <v>SY</v>
          </cell>
          <cell r="D7367" t="str">
            <v>DOUBLE CHIP SEAL WITH TWO YEAR WARRANTY</v>
          </cell>
          <cell r="F7367" t="str">
            <v>GENERAL ONLY</v>
          </cell>
          <cell r="G7367">
            <v>0</v>
          </cell>
        </row>
        <row r="7368">
          <cell r="A7368" t="str">
            <v>882E20001</v>
          </cell>
          <cell r="B7368" t="str">
            <v>Y</v>
          </cell>
          <cell r="C7368" t="str">
            <v>SY</v>
          </cell>
          <cell r="D7368" t="str">
            <v>DOUBLE CHIP SEAL WITH TWO YEAR WARRANTY, AS PER PLAN</v>
          </cell>
          <cell r="F7368" t="str">
            <v>PLUMBING ONLY</v>
          </cell>
          <cell r="G7368">
            <v>0</v>
          </cell>
        </row>
        <row r="7369">
          <cell r="A7369" t="str">
            <v>882E98000</v>
          </cell>
          <cell r="B7369" t="str">
            <v>Y</v>
          </cell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 t="str">
            <v>Y</v>
          </cell>
          <cell r="C7370" t="str">
            <v>SF</v>
          </cell>
          <cell r="D7370" t="str">
            <v>SURFACE PREPARATION OF STRUCTURAL STEEL, WITH WARRANTY</v>
          </cell>
          <cell r="F7370" t="str">
            <v>PLUMBING ONLY</v>
          </cell>
          <cell r="G7370">
            <v>0</v>
          </cell>
        </row>
        <row r="7371">
          <cell r="A7371" t="str">
            <v>883E00060</v>
          </cell>
          <cell r="B7371" t="str">
            <v>Y</v>
          </cell>
          <cell r="C7371" t="str">
            <v>LS</v>
          </cell>
          <cell r="D7371" t="str">
            <v>SURFACE PREPARATION OF STRUCTURAL STEEL, WITH WARRANTY</v>
          </cell>
          <cell r="F7371" t="str">
            <v>PLUMBING ONLY</v>
          </cell>
          <cell r="G7371">
            <v>0</v>
          </cell>
        </row>
        <row r="7372">
          <cell r="A7372" t="str">
            <v>883E00200</v>
          </cell>
          <cell r="B7372" t="str">
            <v>Y</v>
          </cell>
          <cell r="C7372" t="str">
            <v>SF</v>
          </cell>
          <cell r="D7372" t="str">
            <v>FIELD METALLIZING OF STRUCTURAL STEEL, WITH WARRANTY</v>
          </cell>
          <cell r="F7372" t="str">
            <v>PLUMBING ONLY</v>
          </cell>
          <cell r="G7372">
            <v>0</v>
          </cell>
        </row>
        <row r="7373">
          <cell r="A7373" t="str">
            <v>883E00210</v>
          </cell>
          <cell r="B7373" t="str">
            <v>Y</v>
          </cell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 t="str">
            <v>Y</v>
          </cell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 t="str">
            <v>Y</v>
          </cell>
          <cell r="C7375" t="str">
            <v>SY</v>
          </cell>
          <cell r="D7375" t="str">
            <v>VARIABLE THICKNESS PORTLAND CEMENT CONCRETE PAVEMENT (7 YEAR WARRANTY)</v>
          </cell>
          <cell r="F7375" t="str">
            <v>HEATING &amp; VENTILATING ONLY</v>
          </cell>
          <cell r="G7375">
            <v>0</v>
          </cell>
        </row>
        <row r="7376">
          <cell r="A7376" t="str">
            <v>884E10000</v>
          </cell>
          <cell r="B7376" t="str">
            <v>Y</v>
          </cell>
          <cell r="C7376" t="str">
            <v>SY</v>
          </cell>
          <cell r="D7376" t="str">
            <v>8" PORTLAND CEMENT CONCRETE PAVEMENT (7 YEAR WARRANTY)</v>
          </cell>
          <cell r="F7376" t="str">
            <v>HEATING &amp; VENTILATING ONLY</v>
          </cell>
          <cell r="G7376">
            <v>0</v>
          </cell>
        </row>
        <row r="7377">
          <cell r="A7377" t="str">
            <v>884E10050</v>
          </cell>
          <cell r="B7377" t="str">
            <v>Y</v>
          </cell>
          <cell r="C7377" t="str">
            <v>SY</v>
          </cell>
          <cell r="D7377" t="str">
            <v>9" PORTLAND CEMENT CONCRETE PAVEMENT (7 YEAR WARRANTY)</v>
          </cell>
          <cell r="F7377" t="str">
            <v>ELECTRICAL ONLY</v>
          </cell>
          <cell r="G7377">
            <v>0</v>
          </cell>
        </row>
        <row r="7378">
          <cell r="A7378" t="str">
            <v>884E10051</v>
          </cell>
          <cell r="B7378" t="str">
            <v>Y</v>
          </cell>
          <cell r="C7378" t="str">
            <v>SY</v>
          </cell>
          <cell r="D7378" t="str">
            <v>9" PORTLAND CEMENT CONCRETE PAVEMENT (7 YEAR WARRANTY), AS PER PLAN</v>
          </cell>
          <cell r="F7378" t="str">
            <v>ELECTRICAL ONLY</v>
          </cell>
          <cell r="G7378">
            <v>0</v>
          </cell>
        </row>
        <row r="7379">
          <cell r="A7379" t="str">
            <v>884E10080</v>
          </cell>
          <cell r="B7379" t="str">
            <v>Y</v>
          </cell>
          <cell r="C7379" t="str">
            <v>SY</v>
          </cell>
          <cell r="D7379" t="str">
            <v>9.5" PORTLAND CEMENT CONCRETE PAVEMENT (7 YEAR WARRANTY)</v>
          </cell>
          <cell r="F7379" t="str">
            <v>ELECTRICAL ONLY</v>
          </cell>
          <cell r="G7379">
            <v>0</v>
          </cell>
        </row>
        <row r="7380">
          <cell r="A7380" t="str">
            <v>884E10100</v>
          </cell>
          <cell r="B7380" t="str">
            <v>Y</v>
          </cell>
          <cell r="C7380" t="str">
            <v>SY</v>
          </cell>
          <cell r="D7380" t="str">
            <v>10" PORTLAND CEMENT CONCRETE PAVEMENT (7 YEAR WARRANTY)</v>
          </cell>
          <cell r="F7380" t="str">
            <v>ELECTRICAL ONLY</v>
          </cell>
          <cell r="G7380">
            <v>0</v>
          </cell>
        </row>
        <row r="7381">
          <cell r="A7381" t="str">
            <v>884E10150</v>
          </cell>
          <cell r="B7381" t="str">
            <v>Y</v>
          </cell>
          <cell r="C7381" t="str">
            <v>SY</v>
          </cell>
          <cell r="D7381" t="str">
            <v>11" PORTLAND CEMENT CONCRETE PAVEMENT (7 YEAR WARRANTY)</v>
          </cell>
          <cell r="F7381" t="str">
            <v>ELECTRICAL ONLY</v>
          </cell>
          <cell r="G7381">
            <v>0</v>
          </cell>
        </row>
        <row r="7382">
          <cell r="A7382" t="str">
            <v>884E10200</v>
          </cell>
          <cell r="B7382" t="str">
            <v>Y</v>
          </cell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 t="str">
            <v>Y</v>
          </cell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 t="str">
            <v>Y</v>
          </cell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 t="str">
            <v>Y</v>
          </cell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 t="str">
            <v>Y</v>
          </cell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 t="str">
            <v>Y</v>
          </cell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 t="str">
            <v>Y</v>
          </cell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 t="str">
            <v>Y</v>
          </cell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 t="str">
            <v>Y</v>
          </cell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 t="str">
            <v>Y</v>
          </cell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 t="str">
            <v>Y</v>
          </cell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 t="str">
            <v>Y</v>
          </cell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 t="str">
            <v>Y</v>
          </cell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 t="str">
            <v>Y</v>
          </cell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 t="str">
            <v>Y</v>
          </cell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 t="str">
            <v>Y</v>
          </cell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 t="str">
            <v>Y</v>
          </cell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 t="str">
            <v>Y</v>
          </cell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 t="str">
            <v>Y</v>
          </cell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 t="str">
            <v>Y</v>
          </cell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 t="str">
            <v>Y</v>
          </cell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 t="str">
            <v>Y</v>
          </cell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 t="str">
            <v>Y</v>
          </cell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 t="str">
            <v>Y</v>
          </cell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 t="str">
            <v>Y</v>
          </cell>
          <cell r="C7407" t="str">
            <v>LB</v>
          </cell>
          <cell r="D7407" t="str">
            <v>FIELD PAINTING STRUCTURAL STEEL, FINISH COAT, WITH WARRANTY</v>
          </cell>
          <cell r="F7407" t="str">
            <v>DESIGN BUILD PROJECTS ONLY</v>
          </cell>
          <cell r="G7407">
            <v>0</v>
          </cell>
        </row>
        <row r="7408">
          <cell r="A7408" t="str">
            <v>885E10000</v>
          </cell>
          <cell r="B7408" t="str">
            <v>Y</v>
          </cell>
          <cell r="C7408" t="str">
            <v>EACH</v>
          </cell>
          <cell r="D7408" t="str">
            <v>FINAL INSPECTION REPAIR</v>
          </cell>
          <cell r="F7408" t="str">
            <v>DESIGN BUILD PROJECTS ONLY</v>
          </cell>
          <cell r="G7408">
            <v>0</v>
          </cell>
        </row>
        <row r="7409">
          <cell r="A7409" t="str">
            <v>885E90000</v>
          </cell>
          <cell r="B7409" t="str">
            <v>Y</v>
          </cell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 t="str">
            <v>Y</v>
          </cell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 t="str">
            <v>Y</v>
          </cell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 t="str">
            <v>Y</v>
          </cell>
          <cell r="C7412" t="str">
            <v>SY</v>
          </cell>
          <cell r="D7412" t="str">
            <v>HOT IN-PLACE RECYCLING WITH WARRANTY</v>
          </cell>
          <cell r="F7412" t="str">
            <v>DESIGN BUILD PROJECTS ONLY</v>
          </cell>
          <cell r="G7412">
            <v>0</v>
          </cell>
        </row>
        <row r="7413">
          <cell r="A7413" t="str">
            <v>892E10200</v>
          </cell>
          <cell r="B7413" t="str">
            <v>Y</v>
          </cell>
          <cell r="C7413" t="str">
            <v>CY</v>
          </cell>
          <cell r="D7413" t="str">
            <v>QC/QA CONCRETE, CLASS QC2, SUPERSTRUCTURE (DECK) WITH WARRANTY</v>
          </cell>
          <cell r="F7413" t="str">
            <v>DESIGN BUILD PROJECTS ONLY</v>
          </cell>
          <cell r="G7413">
            <v>0</v>
          </cell>
        </row>
        <row r="7414">
          <cell r="A7414" t="str">
            <v>892E10201</v>
          </cell>
          <cell r="B7414" t="str">
            <v>Y</v>
          </cell>
          <cell r="C7414" t="str">
            <v>CY</v>
          </cell>
          <cell r="D7414" t="str">
            <v>QC/QA CONCRETE, CLASS QC2, SUPERSTRUCTURE (DECK) WITH WARRANTY, AS PER PLAN</v>
          </cell>
          <cell r="F7414" t="str">
            <v>DESIGN BUILD PROJECTS ONLY</v>
          </cell>
          <cell r="G7414">
            <v>0</v>
          </cell>
        </row>
        <row r="7415">
          <cell r="A7415" t="str">
            <v>892E10400</v>
          </cell>
          <cell r="B7415" t="str">
            <v>Y</v>
          </cell>
          <cell r="C7415" t="str">
            <v>CY</v>
          </cell>
          <cell r="D7415" t="str">
            <v>QC/QA CONCRETE, CLASS QC3, SUPERSTRUCTURE (DECK) WITH WARRANTY</v>
          </cell>
          <cell r="F7415" t="str">
            <v>DESIGN BUILD PROJECTS ONLY</v>
          </cell>
          <cell r="G7415">
            <v>0</v>
          </cell>
        </row>
        <row r="7416">
          <cell r="A7416" t="str">
            <v>892E10600</v>
          </cell>
          <cell r="B7416" t="str">
            <v>Y</v>
          </cell>
          <cell r="C7416" t="str">
            <v>SY</v>
          </cell>
          <cell r="D7416" t="str">
            <v>QC/QA CONCRETE, CLASS QC2, SUPERSTRUCTURE (DECK) WITH WARRANTY</v>
          </cell>
          <cell r="F7416" t="str">
            <v>DESIGN BUILD PROJECTS ONLY</v>
          </cell>
          <cell r="G7416">
            <v>0</v>
          </cell>
        </row>
        <row r="7417">
          <cell r="A7417" t="str">
            <v>892E10800</v>
          </cell>
          <cell r="B7417" t="str">
            <v>Y</v>
          </cell>
          <cell r="C7417" t="str">
            <v>SY</v>
          </cell>
          <cell r="D7417" t="str">
            <v>QC/QA CONCRETE, CLASS QC3, SUPERSTRUCTURE (DECK) WITH WARRANTY</v>
          </cell>
          <cell r="F7417" t="str">
            <v>DESIGN BUILD PROJECTS ONLY</v>
          </cell>
          <cell r="G7417">
            <v>0</v>
          </cell>
        </row>
        <row r="7418">
          <cell r="A7418" t="str">
            <v>895E10010</v>
          </cell>
          <cell r="B7418" t="str">
            <v>Y</v>
          </cell>
          <cell r="C7418" t="str">
            <v>EACH</v>
          </cell>
          <cell r="D7418" t="str">
            <v>MANUFACTURED WATER QUALITY STRUCTURE, TYPE 1</v>
          </cell>
          <cell r="F7418" t="str">
            <v>DESIGN BUILD PROJECTS ONLY</v>
          </cell>
          <cell r="G7418">
            <v>0</v>
          </cell>
        </row>
        <row r="7419">
          <cell r="A7419" t="str">
            <v>895E10011</v>
          </cell>
          <cell r="B7419" t="str">
            <v>Y</v>
          </cell>
          <cell r="C7419" t="str">
            <v>EACH</v>
          </cell>
          <cell r="D7419" t="str">
            <v>MANUFACTURED WATER QUALITY STRUCTURE, TYPE 1, AS PER PLAN</v>
          </cell>
          <cell r="F7419" t="str">
            <v>DESIGN BUILD PROJECTS ONLY</v>
          </cell>
          <cell r="G7419">
            <v>0</v>
          </cell>
        </row>
        <row r="7420">
          <cell r="A7420" t="str">
            <v>895E10020</v>
          </cell>
          <cell r="B7420" t="str">
            <v>Y</v>
          </cell>
          <cell r="C7420" t="str">
            <v>EACH</v>
          </cell>
          <cell r="D7420" t="str">
            <v>MANUFACTURED WATER QUALITY STRUCTURE, TYPE 2</v>
          </cell>
          <cell r="F7420" t="str">
            <v>DESIGN BUILD PROJECTS ONLY</v>
          </cell>
          <cell r="G7420">
            <v>0</v>
          </cell>
        </row>
        <row r="7421">
          <cell r="A7421" t="str">
            <v>895E10021</v>
          </cell>
          <cell r="B7421" t="str">
            <v>Y</v>
          </cell>
          <cell r="C7421" t="str">
            <v>EACH</v>
          </cell>
          <cell r="D7421" t="str">
            <v>MANUFACTURED WATER QUALITY STRUCTURE, TYPE 2, AS PER PLAN</v>
          </cell>
          <cell r="F7421" t="str">
            <v>DESIGN BUILD PROJECTS ONLY</v>
          </cell>
          <cell r="G7421">
            <v>0</v>
          </cell>
        </row>
        <row r="7422">
          <cell r="A7422" t="str">
            <v>895E10030</v>
          </cell>
          <cell r="B7422" t="str">
            <v>Y</v>
          </cell>
          <cell r="C7422" t="str">
            <v>EACH</v>
          </cell>
          <cell r="D7422" t="str">
            <v>MANUFACTURED WATER QUALITY STRUCTURE, TYPE 3</v>
          </cell>
          <cell r="F7422" t="str">
            <v>DESIGN BUILD PROJECTS ONLY</v>
          </cell>
          <cell r="G7422">
            <v>0</v>
          </cell>
        </row>
        <row r="7423">
          <cell r="A7423" t="str">
            <v>895E10040</v>
          </cell>
          <cell r="B7423" t="str">
            <v>Y</v>
          </cell>
          <cell r="C7423" t="str">
            <v>EACH</v>
          </cell>
          <cell r="D7423" t="str">
            <v>MANUFACTURED WATER QUALITY STRUCTURE, TYPE 4</v>
          </cell>
          <cell r="F7423" t="str">
            <v>DESIGN BUILD PROJECTS ONLY</v>
          </cell>
          <cell r="G7423">
            <v>0</v>
          </cell>
        </row>
        <row r="7424">
          <cell r="A7424" t="str">
            <v>896E00010</v>
          </cell>
          <cell r="B7424" t="str">
            <v>Y</v>
          </cell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 t="str">
            <v>Y</v>
          </cell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 t="str">
            <v>Y</v>
          </cell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 t="str">
            <v>Y</v>
          </cell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 t="str">
            <v>Y</v>
          </cell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 t="str">
            <v>Y</v>
          </cell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 t="str">
            <v>Y</v>
          </cell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 t="str">
            <v>Y</v>
          </cell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 t="str">
            <v>Y</v>
          </cell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 t="str">
            <v>Y</v>
          </cell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 t="str">
            <v>ADD SUPPLEMENTAL DESCRIPTION</v>
          </cell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 t="str">
            <v>ADD SUPPLEMENTAL DESCRIPTION</v>
          </cell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 t="str">
            <v>Y</v>
          </cell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 t="str">
            <v>Y</v>
          </cell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 t="str">
            <v>Y</v>
          </cell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 t="str">
            <v>Y</v>
          </cell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 t="str">
            <v>Y</v>
          </cell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 t="str">
            <v>Y</v>
          </cell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 t="str">
            <v>Y</v>
          </cell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 t="str">
            <v>Y</v>
          </cell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 t="str">
            <v>Y</v>
          </cell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 t="str">
            <v>Y</v>
          </cell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 t="str">
            <v>Y</v>
          </cell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 t="str">
            <v>Y</v>
          </cell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 t="str">
            <v>Y</v>
          </cell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 t="str">
            <v>Y</v>
          </cell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 t="str">
            <v>Y</v>
          </cell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 t="str">
            <v>Y</v>
          </cell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 t="str">
            <v>Y</v>
          </cell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 t="str">
            <v>Y</v>
          </cell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 t="str">
            <v>Y</v>
          </cell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 t="str">
            <v>Y</v>
          </cell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 t="str">
            <v>Y</v>
          </cell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 t="str">
            <v>Y</v>
          </cell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 t="str">
            <v>Y</v>
          </cell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 t="str">
            <v>Y</v>
          </cell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 t="str">
            <v>Y</v>
          </cell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 t="str">
            <v>Y</v>
          </cell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 t="str">
            <v>Y</v>
          </cell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 t="str">
            <v>Y</v>
          </cell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 t="str">
            <v>Y</v>
          </cell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 t="str">
            <v>Y</v>
          </cell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 t="str">
            <v>Y</v>
          </cell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 t="str">
            <v>Y</v>
          </cell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 t="str">
            <v>Y</v>
          </cell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 t="str">
            <v>Y</v>
          </cell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 t="str">
            <v>Y</v>
          </cell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 t="str">
            <v>Y</v>
          </cell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 t="str">
            <v>Y</v>
          </cell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 t="str">
            <v>Y</v>
          </cell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 t="str">
            <v>Y</v>
          </cell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 t="str">
            <v>Y</v>
          </cell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 t="str">
            <v>Y</v>
          </cell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 t="str">
            <v>691E10200</v>
          </cell>
          <cell r="B7500" t="str">
            <v>Y</v>
          </cell>
          <cell r="C7500" t="str">
            <v>MILE</v>
          </cell>
          <cell r="D7500" t="str">
            <v>SPECIAL - HERBICIDAL SPRAYING, WEED AND BRUSH CONTROL FROM ROAD</v>
          </cell>
          <cell r="F7500" t="str">
            <v>CHECK UNIT OF MEASURE</v>
          </cell>
          <cell r="G7500">
            <v>0</v>
          </cell>
        </row>
        <row r="7501">
          <cell r="A7501" t="str">
            <v>691E20000</v>
          </cell>
          <cell r="B7501" t="str">
            <v>Y</v>
          </cell>
          <cell r="C7501" t="str">
            <v>GAL</v>
          </cell>
          <cell r="D7501" t="str">
            <v>SPECIAL - HERBICIDAL SPRAYING, WEED AND BRUSH CONTROL FROM ROAD</v>
          </cell>
          <cell r="F7501" t="str">
            <v>CHECK UNIT OF MEASURE</v>
          </cell>
          <cell r="G7501">
            <v>0</v>
          </cell>
        </row>
        <row r="7502">
          <cell r="A7502" t="str">
            <v>691E20100</v>
          </cell>
          <cell r="B7502" t="str">
            <v>Y</v>
          </cell>
          <cell r="C7502" t="str">
            <v>GAL</v>
          </cell>
          <cell r="D7502" t="str">
            <v>SPECIAL - HERBICIDAL SPRAYING, WEED AND BRUSH CONTROL OFF ROAD</v>
          </cell>
          <cell r="F7502" t="str">
            <v>CHECK UNIT OF MEASURE</v>
          </cell>
          <cell r="G7502">
            <v>0</v>
          </cell>
        </row>
        <row r="7503">
          <cell r="A7503" t="str">
            <v>691E30000</v>
          </cell>
          <cell r="B7503" t="str">
            <v>Y</v>
          </cell>
          <cell r="C7503" t="str">
            <v>FT</v>
          </cell>
          <cell r="D7503" t="str">
            <v>SPECIAL - HERBICIDAL SPRAYING, NON SELECTIVE VEGETATION CONTROL, GUARDRAIL, SIGNS AND DELINEATORS</v>
          </cell>
          <cell r="F7503" t="str">
            <v>CHECK UNIT OF MEASURE</v>
          </cell>
          <cell r="G7503">
            <v>0</v>
          </cell>
        </row>
        <row r="7504">
          <cell r="A7504" t="str">
            <v>691E40000</v>
          </cell>
          <cell r="B7504" t="str">
            <v>Y</v>
          </cell>
          <cell r="C7504" t="str">
            <v>MILE</v>
          </cell>
          <cell r="D7504" t="str">
            <v>SPECIAL - HERBICIDAL SPRAYING, CATTAIL CONTROL</v>
          </cell>
          <cell r="F7504" t="str">
            <v>CHECK UNIT OF MEASURE</v>
          </cell>
          <cell r="G7504">
            <v>0</v>
          </cell>
        </row>
        <row r="7505">
          <cell r="A7505" t="str">
            <v>691E41000</v>
          </cell>
          <cell r="B7505" t="str">
            <v>Y</v>
          </cell>
          <cell r="C7505" t="str">
            <v>MILE</v>
          </cell>
          <cell r="D7505" t="str">
            <v>SPECIAL - HERBICIDAL SPRAYING</v>
          </cell>
          <cell r="F7505" t="str">
            <v>CHECK UNIT OF MEASURE</v>
          </cell>
          <cell r="G7505">
            <v>0</v>
          </cell>
        </row>
        <row r="7506">
          <cell r="A7506" t="str">
            <v>691E41200</v>
          </cell>
          <cell r="B7506" t="str">
            <v>Y</v>
          </cell>
          <cell r="C7506" t="str">
            <v>LB</v>
          </cell>
          <cell r="D7506" t="str">
            <v>SPECIAL - HERBICIDAL SPRAYING</v>
          </cell>
          <cell r="F7506" t="str">
            <v>CHECK UNIT OF MEASURE</v>
          </cell>
          <cell r="G7506">
            <v>0</v>
          </cell>
        </row>
        <row r="7507">
          <cell r="A7507" t="str">
            <v>691E41900</v>
          </cell>
          <cell r="B7507" t="str">
            <v>Y</v>
          </cell>
          <cell r="C7507" t="str">
            <v>MILE</v>
          </cell>
          <cell r="D7507" t="str">
            <v>SPECIAL - HERBICIDAL SPRAYING, GUARDRAIL</v>
          </cell>
          <cell r="F7507" t="str">
            <v>CHECK UNIT OF MEASURE</v>
          </cell>
          <cell r="G7507">
            <v>0</v>
          </cell>
        </row>
        <row r="7508">
          <cell r="A7508" t="str">
            <v>691E42000</v>
          </cell>
          <cell r="B7508" t="str">
            <v>Y</v>
          </cell>
          <cell r="C7508" t="str">
            <v>MILE</v>
          </cell>
          <cell r="D7508" t="str">
            <v>SPECIAL - HERBICIDAL SPRAYING, NON SELECTIVE VEGETATION CONTROL, GUARDRAIL, SIGNS AND DELINEATORS</v>
          </cell>
          <cell r="F7508" t="str">
            <v>CHECK UNIT OF MEASURE</v>
          </cell>
          <cell r="G7508">
            <v>0</v>
          </cell>
        </row>
        <row r="7509">
          <cell r="A7509" t="str">
            <v>691E42500</v>
          </cell>
          <cell r="B7509" t="str">
            <v>Y</v>
          </cell>
          <cell r="C7509" t="str">
            <v>EACH</v>
          </cell>
          <cell r="D7509" t="str">
            <v>SPECIAL - HERBICIDAL SPRAYING, DELINEATOR, SIGNPOST, LIGHTPOLE AND/OR THEIR FOUNDATIONS</v>
          </cell>
          <cell r="F7509" t="str">
            <v>CHECK UNIT OF MEASURE</v>
          </cell>
          <cell r="G7509">
            <v>0</v>
          </cell>
        </row>
        <row r="7510">
          <cell r="A7510" t="str">
            <v>691E50000</v>
          </cell>
          <cell r="B7510" t="str">
            <v>Y</v>
          </cell>
          <cell r="C7510" t="str">
            <v>GAL</v>
          </cell>
          <cell r="D7510" t="str">
            <v>SPECIAL - HERBICIDAL SPRAYING, BRUSH CONTROL FROM ROAD</v>
          </cell>
          <cell r="F7510" t="str">
            <v>CHECK UNIT OF MEASURE</v>
          </cell>
          <cell r="G7510">
            <v>0</v>
          </cell>
        </row>
        <row r="7511">
          <cell r="A7511" t="str">
            <v>691E50100</v>
          </cell>
          <cell r="B7511" t="str">
            <v>Y</v>
          </cell>
          <cell r="C7511" t="str">
            <v>MILE</v>
          </cell>
          <cell r="D7511" t="str">
            <v>SPECIAL - HERBICIDAL SPRAYING, RIGHT-OF-WAY FENCE</v>
          </cell>
          <cell r="F7511" t="str">
            <v>CHECK UNIT OF MEASURE</v>
          </cell>
          <cell r="G7511">
            <v>0</v>
          </cell>
        </row>
        <row r="7512">
          <cell r="A7512" t="str">
            <v>691E60000</v>
          </cell>
          <cell r="B7512" t="str">
            <v>Y</v>
          </cell>
          <cell r="C7512" t="str">
            <v>GAL</v>
          </cell>
          <cell r="D7512" t="str">
            <v>SPECIAL - HERBICIDAL SPRAYING, MISC.:</v>
          </cell>
          <cell r="F7512" t="str">
            <v>ADD SUPPLEMENTAL DESCRIPTION</v>
          </cell>
          <cell r="G7512">
            <v>1</v>
          </cell>
        </row>
        <row r="7513">
          <cell r="A7513" t="str">
            <v>691E60050</v>
          </cell>
          <cell r="B7513" t="str">
            <v>Y</v>
          </cell>
          <cell r="C7513" t="str">
            <v>QT</v>
          </cell>
          <cell r="D7513" t="str">
            <v>SPECIAL - HERBICIDAL SPRAYING, MISC.:</v>
          </cell>
          <cell r="F7513" t="str">
            <v>ADD SUPPLEMENTAL DESCRIPTION</v>
          </cell>
          <cell r="G7513">
            <v>1</v>
          </cell>
        </row>
        <row r="7514">
          <cell r="A7514" t="str">
            <v>691E60060</v>
          </cell>
          <cell r="B7514" t="str">
            <v>Y</v>
          </cell>
          <cell r="C7514" t="str">
            <v>OZ</v>
          </cell>
          <cell r="D7514" t="str">
            <v>SPECIAL - HERBICIDAL SPRAYING, MISC.:</v>
          </cell>
          <cell r="F7514" t="str">
            <v>ADD SUPPLEMENTAL DESCRIPTION</v>
          </cell>
          <cell r="G7514">
            <v>1</v>
          </cell>
        </row>
        <row r="7515">
          <cell r="A7515" t="str">
            <v>691E60070</v>
          </cell>
          <cell r="B7515" t="str">
            <v>Y</v>
          </cell>
          <cell r="C7515" t="str">
            <v>PINT</v>
          </cell>
          <cell r="D7515" t="str">
            <v>SPECIAL - HERBICIDAL SPRAYING, MISC.:</v>
          </cell>
          <cell r="F7515" t="str">
            <v>ADD SUPPLEMENTAL DESCRIPTION</v>
          </cell>
          <cell r="G7515">
            <v>1</v>
          </cell>
        </row>
        <row r="7516">
          <cell r="A7516" t="str">
            <v>691E60100</v>
          </cell>
          <cell r="B7516" t="str">
            <v>Y</v>
          </cell>
          <cell r="C7516" t="str">
            <v>ACRE</v>
          </cell>
          <cell r="D7516" t="str">
            <v>SPECIAL - HERBICIDAL SPRAYING, MISC.:</v>
          </cell>
          <cell r="F7516" t="str">
            <v>ADD SUPPLEMENTAL DESCRIPTION</v>
          </cell>
          <cell r="G7516">
            <v>1</v>
          </cell>
        </row>
        <row r="7517">
          <cell r="A7517" t="str">
            <v>691E60200</v>
          </cell>
          <cell r="B7517" t="str">
            <v>Y</v>
          </cell>
          <cell r="C7517" t="str">
            <v>SY</v>
          </cell>
          <cell r="D7517" t="str">
            <v>SPECIAL - HERBICIDAL SPRAYING, MISC.:</v>
          </cell>
          <cell r="F7517" t="str">
            <v>ADD SUPPLEMENTAL DESCRIPTION</v>
          </cell>
          <cell r="G7517">
            <v>1</v>
          </cell>
        </row>
        <row r="7518">
          <cell r="A7518" t="str">
            <v>691E60300</v>
          </cell>
          <cell r="B7518" t="str">
            <v>Y</v>
          </cell>
          <cell r="C7518" t="str">
            <v>MILE</v>
          </cell>
          <cell r="D7518" t="str">
            <v>SPECIAL - HERBICIDAL SPRAYING, MISC.:</v>
          </cell>
          <cell r="F7518" t="str">
            <v>ADD SUPPLEMENTAL DESCRIPTION</v>
          </cell>
          <cell r="G7518">
            <v>1</v>
          </cell>
        </row>
        <row r="7519">
          <cell r="A7519" t="str">
            <v>692E10000</v>
          </cell>
          <cell r="B7519" t="str">
            <v>Y</v>
          </cell>
          <cell r="C7519" t="str">
            <v>MILE</v>
          </cell>
          <cell r="D7519" t="str">
            <v>SPECIAL - FIRST MOWING</v>
          </cell>
          <cell r="F7519" t="str">
            <v>CHECK UNIT OF MEASURE</v>
          </cell>
          <cell r="G7519">
            <v>0</v>
          </cell>
        </row>
        <row r="7520">
          <cell r="A7520" t="str">
            <v>692E10100</v>
          </cell>
          <cell r="B7520" t="str">
            <v>Y</v>
          </cell>
          <cell r="C7520" t="str">
            <v>ACRE</v>
          </cell>
          <cell r="D7520" t="str">
            <v>SPECIAL - FIRST MOWING</v>
          </cell>
          <cell r="F7520" t="str">
            <v>CHECK UNIT OF MEASURE</v>
          </cell>
          <cell r="G7520">
            <v>0</v>
          </cell>
        </row>
        <row r="7521">
          <cell r="A7521" t="str">
            <v>692E10200</v>
          </cell>
          <cell r="B7521" t="str">
            <v>Y</v>
          </cell>
          <cell r="C7521" t="str">
            <v>LS</v>
          </cell>
          <cell r="D7521" t="str">
            <v>SPECIAL - FIRST MOWING</v>
          </cell>
          <cell r="F7521" t="str">
            <v>CHECK UNIT OF MEASURE</v>
          </cell>
          <cell r="G7521">
            <v>0</v>
          </cell>
        </row>
        <row r="7522">
          <cell r="A7522" t="str">
            <v>692E10300</v>
          </cell>
          <cell r="B7522" t="str">
            <v>Y</v>
          </cell>
          <cell r="C7522" t="str">
            <v>MSF</v>
          </cell>
          <cell r="D7522" t="str">
            <v>SPECIAL - FIRST MOWING</v>
          </cell>
          <cell r="F7522" t="str">
            <v>CHECK UNIT OF MEASURE</v>
          </cell>
          <cell r="G7522">
            <v>0</v>
          </cell>
        </row>
        <row r="7523">
          <cell r="A7523" t="str">
            <v>692E20000</v>
          </cell>
          <cell r="B7523" t="str">
            <v>Y</v>
          </cell>
          <cell r="C7523" t="str">
            <v>MILE</v>
          </cell>
          <cell r="D7523" t="str">
            <v>SPECIAL - SECOND MOWING</v>
          </cell>
          <cell r="F7523" t="str">
            <v>CHECK UNIT OF MEASURE</v>
          </cell>
          <cell r="G7523">
            <v>0</v>
          </cell>
        </row>
        <row r="7524">
          <cell r="A7524" t="str">
            <v>692E20100</v>
          </cell>
          <cell r="B7524" t="str">
            <v>Y</v>
          </cell>
          <cell r="C7524" t="str">
            <v>ACRE</v>
          </cell>
          <cell r="D7524" t="str">
            <v>SPECIAL - SECOND MOWING</v>
          </cell>
          <cell r="F7524" t="str">
            <v>CHECK UNIT OF MEASURE</v>
          </cell>
          <cell r="G7524">
            <v>0</v>
          </cell>
        </row>
        <row r="7525">
          <cell r="A7525" t="str">
            <v>692E20200</v>
          </cell>
          <cell r="B7525" t="str">
            <v>Y</v>
          </cell>
          <cell r="C7525" t="str">
            <v>LS</v>
          </cell>
          <cell r="D7525" t="str">
            <v>SPECIAL - SECOND MOWING</v>
          </cell>
          <cell r="F7525" t="str">
            <v>CHECK UNIT OF MEASURE</v>
          </cell>
          <cell r="G7525">
            <v>0</v>
          </cell>
        </row>
        <row r="7526">
          <cell r="A7526" t="str">
            <v>692E20300</v>
          </cell>
          <cell r="B7526" t="str">
            <v>Y</v>
          </cell>
          <cell r="C7526" t="str">
            <v>MSF</v>
          </cell>
          <cell r="D7526" t="str">
            <v>SPECIAL - SECOND MOWING</v>
          </cell>
          <cell r="F7526" t="str">
            <v>CHECK UNIT OF MEASURE</v>
          </cell>
          <cell r="G7526">
            <v>0</v>
          </cell>
        </row>
        <row r="7527">
          <cell r="A7527" t="str">
            <v>692E30000</v>
          </cell>
          <cell r="B7527" t="str">
            <v>Y</v>
          </cell>
          <cell r="C7527" t="str">
            <v>MILE</v>
          </cell>
          <cell r="D7527" t="str">
            <v>SPECIAL - THIRD MOWING</v>
          </cell>
          <cell r="F7527" t="str">
            <v>CHECK UNIT OF MEASURE</v>
          </cell>
          <cell r="G7527">
            <v>0</v>
          </cell>
        </row>
        <row r="7528">
          <cell r="A7528" t="str">
            <v>692E30100</v>
          </cell>
          <cell r="B7528" t="str">
            <v>Y</v>
          </cell>
          <cell r="C7528" t="str">
            <v>ACRE</v>
          </cell>
          <cell r="D7528" t="str">
            <v>SPECIAL - THIRD MOWING</v>
          </cell>
          <cell r="F7528" t="str">
            <v>CHECK UNIT OF MEASURE</v>
          </cell>
          <cell r="G7528">
            <v>0</v>
          </cell>
        </row>
        <row r="7529">
          <cell r="A7529" t="str">
            <v>692E30200</v>
          </cell>
          <cell r="B7529" t="str">
            <v>Y</v>
          </cell>
          <cell r="C7529" t="str">
            <v>LS</v>
          </cell>
          <cell r="D7529" t="str">
            <v>SPECIAL - THIRD MOWING</v>
          </cell>
          <cell r="F7529" t="str">
            <v>CHECK UNIT OF MEASURE</v>
          </cell>
          <cell r="G7529">
            <v>0</v>
          </cell>
        </row>
        <row r="7530">
          <cell r="A7530" t="str">
            <v>692E30220</v>
          </cell>
          <cell r="B7530" t="str">
            <v>Y</v>
          </cell>
          <cell r="C7530" t="str">
            <v>MSF</v>
          </cell>
          <cell r="D7530" t="str">
            <v>SPECIAL - THIRD MOWING</v>
          </cell>
          <cell r="F7530" t="str">
            <v>CHECK UNIT OF MEASURE</v>
          </cell>
          <cell r="G7530">
            <v>0</v>
          </cell>
        </row>
        <row r="7531">
          <cell r="A7531" t="str">
            <v>692E30250</v>
          </cell>
          <cell r="B7531" t="str">
            <v>Y</v>
          </cell>
          <cell r="C7531" t="str">
            <v>MILE</v>
          </cell>
          <cell r="D7531" t="str">
            <v>SPECIAL - FOURTH MOWING</v>
          </cell>
          <cell r="F7531" t="str">
            <v>CHECK UNIT OF MEASURE</v>
          </cell>
          <cell r="G7531">
            <v>0</v>
          </cell>
        </row>
        <row r="7532">
          <cell r="A7532" t="str">
            <v>692E30260</v>
          </cell>
          <cell r="B7532" t="str">
            <v>Y</v>
          </cell>
          <cell r="C7532" t="str">
            <v>LS</v>
          </cell>
          <cell r="D7532" t="str">
            <v>SPECIAL - FOURTH MOWING</v>
          </cell>
          <cell r="F7532" t="str">
            <v>CHECK UNIT OF MEASURE</v>
          </cell>
          <cell r="G7532">
            <v>0</v>
          </cell>
        </row>
        <row r="7533">
          <cell r="A7533" t="str">
            <v>692E30270</v>
          </cell>
          <cell r="B7533" t="str">
            <v>Y</v>
          </cell>
          <cell r="C7533" t="str">
            <v>ACRE</v>
          </cell>
          <cell r="D7533" t="str">
            <v>SPECIAL - FOURTH MOWING</v>
          </cell>
          <cell r="F7533" t="str">
            <v>CHECK UNIT OF MEASURE</v>
          </cell>
          <cell r="G7533">
            <v>0</v>
          </cell>
        </row>
        <row r="7534">
          <cell r="A7534" t="str">
            <v>692E30280</v>
          </cell>
          <cell r="B7534" t="str">
            <v>Y</v>
          </cell>
          <cell r="C7534" t="str">
            <v>MILE</v>
          </cell>
          <cell r="D7534" t="str">
            <v>SPECIAL - FIFTH MOWING</v>
          </cell>
          <cell r="F7534" t="str">
            <v>CHECK UNIT OF MEASURE</v>
          </cell>
          <cell r="G7534">
            <v>0</v>
          </cell>
        </row>
        <row r="7535">
          <cell r="A7535" t="str">
            <v>692E30284</v>
          </cell>
          <cell r="B7535" t="str">
            <v>Y</v>
          </cell>
          <cell r="C7535" t="str">
            <v>ACRE</v>
          </cell>
          <cell r="D7535" t="str">
            <v>SPECIAL - FIFTH MOWING</v>
          </cell>
          <cell r="F7535" t="str">
            <v>CHECK UNIT OF MEASURE</v>
          </cell>
          <cell r="G7535">
            <v>0</v>
          </cell>
        </row>
        <row r="7536">
          <cell r="A7536" t="str">
            <v>692E30290</v>
          </cell>
          <cell r="B7536" t="str">
            <v>Y</v>
          </cell>
          <cell r="C7536" t="str">
            <v>MILE</v>
          </cell>
          <cell r="D7536" t="str">
            <v>SPECIAL - SIXTH MOWING</v>
          </cell>
          <cell r="F7536" t="str">
            <v>CHECK UNIT OF MEASURE</v>
          </cell>
          <cell r="G7536">
            <v>0</v>
          </cell>
        </row>
        <row r="7537">
          <cell r="A7537" t="str">
            <v>692E30294</v>
          </cell>
          <cell r="B7537" t="str">
            <v>Y</v>
          </cell>
          <cell r="C7537" t="str">
            <v>ACRE</v>
          </cell>
          <cell r="D7537" t="str">
            <v>SPECIAL - SIXTH MOWING</v>
          </cell>
          <cell r="F7537" t="str">
            <v>CHECK UNIT OF MEASURE</v>
          </cell>
          <cell r="G7537">
            <v>0</v>
          </cell>
        </row>
        <row r="7538">
          <cell r="A7538" t="str">
            <v>692E30300</v>
          </cell>
          <cell r="B7538" t="str">
            <v>Y</v>
          </cell>
          <cell r="C7538" t="str">
            <v>MILE</v>
          </cell>
          <cell r="D7538" t="str">
            <v>SPECIAL - SEVENTH MOWING</v>
          </cell>
          <cell r="F7538" t="str">
            <v>CHECK UNIT OF MEASURE</v>
          </cell>
          <cell r="G7538">
            <v>0</v>
          </cell>
        </row>
        <row r="7539">
          <cell r="A7539" t="str">
            <v>692E30304</v>
          </cell>
          <cell r="B7539" t="str">
            <v>Y</v>
          </cell>
          <cell r="C7539" t="str">
            <v>ACRE</v>
          </cell>
          <cell r="D7539" t="str">
            <v>SPECIAL - SEVENTH MOWING</v>
          </cell>
          <cell r="F7539" t="str">
            <v>CHECK UNIT OF MEASURE</v>
          </cell>
          <cell r="G7539">
            <v>0</v>
          </cell>
        </row>
        <row r="7540">
          <cell r="A7540" t="str">
            <v>692E30310</v>
          </cell>
          <cell r="B7540" t="str">
            <v>Y</v>
          </cell>
          <cell r="C7540" t="str">
            <v>LIMI</v>
          </cell>
          <cell r="D7540" t="str">
            <v>SPECIAL - EIGHTH MOWING</v>
          </cell>
          <cell r="F7540" t="str">
            <v>CHECK UNIT OF MEASURE</v>
          </cell>
          <cell r="G7540">
            <v>0</v>
          </cell>
        </row>
        <row r="7541">
          <cell r="A7541" t="str">
            <v>692E30314</v>
          </cell>
          <cell r="B7541" t="str">
            <v>Y</v>
          </cell>
          <cell r="C7541" t="str">
            <v>ACRE</v>
          </cell>
          <cell r="D7541" t="str">
            <v>SPECIAL - EIGHTH MOWING</v>
          </cell>
          <cell r="F7541" t="str">
            <v>CHECK UNIT OF MEASURE</v>
          </cell>
          <cell r="G7541">
            <v>0</v>
          </cell>
        </row>
        <row r="7542">
          <cell r="A7542" t="str">
            <v>692E30324</v>
          </cell>
          <cell r="B7542" t="str">
            <v>Y</v>
          </cell>
          <cell r="C7542" t="str">
            <v>ACRE</v>
          </cell>
          <cell r="D7542" t="str">
            <v>SPECIAL - NINETH MOWING</v>
          </cell>
          <cell r="F7542" t="str">
            <v>CHECK UNIT OF MEASURE</v>
          </cell>
          <cell r="G7542">
            <v>0</v>
          </cell>
        </row>
        <row r="7543">
          <cell r="A7543" t="str">
            <v>692E30334</v>
          </cell>
          <cell r="B7543" t="str">
            <v>Y</v>
          </cell>
          <cell r="C7543" t="str">
            <v>ACRE</v>
          </cell>
          <cell r="D7543" t="str">
            <v>SPECIAL - TENTH MOWING</v>
          </cell>
          <cell r="F7543" t="str">
            <v>CHECK UNIT OF MEASURE</v>
          </cell>
          <cell r="G7543">
            <v>0</v>
          </cell>
        </row>
        <row r="7544">
          <cell r="A7544" t="str">
            <v>692E30400</v>
          </cell>
          <cell r="B7544" t="str">
            <v>Y</v>
          </cell>
          <cell r="C7544" t="str">
            <v>ACRE</v>
          </cell>
          <cell r="D7544" t="str">
            <v>SPECIAL - MOWBACK</v>
          </cell>
          <cell r="G7544">
            <v>0</v>
          </cell>
        </row>
        <row r="7545">
          <cell r="A7545" t="str">
            <v>692E30440</v>
          </cell>
          <cell r="B7545" t="str">
            <v>Y</v>
          </cell>
          <cell r="C7545" t="str">
            <v>MILE</v>
          </cell>
          <cell r="D7545" t="str">
            <v>SPECIAL - MOWBACK, FIRST MOWING</v>
          </cell>
          <cell r="G7545">
            <v>0</v>
          </cell>
        </row>
        <row r="7546">
          <cell r="A7546" t="str">
            <v>692E30450</v>
          </cell>
          <cell r="B7546" t="str">
            <v>Y</v>
          </cell>
          <cell r="C7546" t="str">
            <v>MILE</v>
          </cell>
          <cell r="D7546" t="str">
            <v>SPECIAL - MOWBACK - SECOND MOWING</v>
          </cell>
          <cell r="G7546">
            <v>0</v>
          </cell>
        </row>
        <row r="7547">
          <cell r="A7547" t="str">
            <v>692E35000</v>
          </cell>
          <cell r="B7547" t="str">
            <v>Y</v>
          </cell>
          <cell r="C7547" t="str">
            <v>MILE</v>
          </cell>
          <cell r="D7547" t="str">
            <v>SPECIAL - MOWING, MISC.:</v>
          </cell>
          <cell r="F7547" t="str">
            <v>ADD SUPPLEMENTAL DESCRIPTION</v>
          </cell>
          <cell r="G7547">
            <v>1</v>
          </cell>
        </row>
        <row r="7548">
          <cell r="A7548" t="str">
            <v>692E36000</v>
          </cell>
          <cell r="B7548" t="str">
            <v>Y</v>
          </cell>
          <cell r="C7548" t="str">
            <v>EACH</v>
          </cell>
          <cell r="D7548" t="str">
            <v>SPECIAL - MOWING, MISC.:</v>
          </cell>
          <cell r="F7548" t="str">
            <v>CHECK UNIT OF MEASURE</v>
          </cell>
          <cell r="G7548">
            <v>1</v>
          </cell>
        </row>
        <row r="7549">
          <cell r="A7549" t="str">
            <v>692E37000</v>
          </cell>
          <cell r="B7549" t="str">
            <v>Y</v>
          </cell>
          <cell r="C7549" t="str">
            <v>LS</v>
          </cell>
          <cell r="D7549" t="str">
            <v>SPECIAL - MOWING, MISC.:</v>
          </cell>
          <cell r="F7549" t="str">
            <v>CHECK UNIT OF MEASURE</v>
          </cell>
          <cell r="G7549">
            <v>1</v>
          </cell>
        </row>
        <row r="7550">
          <cell r="A7550" t="str">
            <v>803E45000</v>
          </cell>
          <cell r="C7550" t="str">
            <v>CY</v>
          </cell>
          <cell r="D7550" t="str">
            <v>RUBBERIZED OPEN GRADED ASPHALT FRICTION COURSE</v>
          </cell>
          <cell r="G7550">
            <v>0</v>
          </cell>
        </row>
        <row r="7551">
          <cell r="A7551" t="str">
            <v>803E45001</v>
          </cell>
          <cell r="C7551" t="str">
            <v>CY</v>
          </cell>
          <cell r="D7551" t="str">
            <v>RUBBERIZED OPEN GRADED ASPHALT FRICTION COURSE, AS PER PLAN</v>
          </cell>
          <cell r="G7551">
            <v>0</v>
          </cell>
        </row>
        <row r="7552">
          <cell r="A7552" t="str">
            <v>804E15000</v>
          </cell>
          <cell r="C7552" t="str">
            <v>FT</v>
          </cell>
          <cell r="D7552" t="str">
            <v>FIBER OPTIC CABLE, 18 FIBER</v>
          </cell>
          <cell r="G7552">
            <v>0</v>
          </cell>
        </row>
        <row r="7553">
          <cell r="A7553" t="str">
            <v>804E15010</v>
          </cell>
          <cell r="C7553" t="str">
            <v>FT</v>
          </cell>
          <cell r="D7553" t="str">
            <v>FIBER OPTIC CABLE, 24 FIBER</v>
          </cell>
          <cell r="G7553">
            <v>0</v>
          </cell>
        </row>
        <row r="7554">
          <cell r="A7554" t="str">
            <v>804E15020</v>
          </cell>
          <cell r="C7554" t="str">
            <v>FT</v>
          </cell>
          <cell r="D7554" t="str">
            <v>FIBER OPTIC CABLE, 48 FIBER</v>
          </cell>
          <cell r="G7554">
            <v>0</v>
          </cell>
        </row>
        <row r="7555">
          <cell r="A7555" t="str">
            <v>804E15030</v>
          </cell>
          <cell r="C7555" t="str">
            <v>FT</v>
          </cell>
          <cell r="D7555" t="str">
            <v>FIBER OPTIC CABLE, 72 FIBER</v>
          </cell>
          <cell r="G7555">
            <v>0</v>
          </cell>
        </row>
        <row r="7556">
          <cell r="A7556" t="str">
            <v>804E15031</v>
          </cell>
          <cell r="C7556" t="str">
            <v>FT</v>
          </cell>
          <cell r="D7556" t="str">
            <v>FIBER OPTIC CABLE, 72 FIBER, AS PER PLAN</v>
          </cell>
          <cell r="G7556">
            <v>0</v>
          </cell>
        </row>
        <row r="7557">
          <cell r="A7557" t="str">
            <v>804E15040</v>
          </cell>
          <cell r="C7557" t="str">
            <v>FT</v>
          </cell>
          <cell r="D7557" t="str">
            <v>FIBER OPTIC CABLE, 144 FIBER</v>
          </cell>
          <cell r="G7557">
            <v>0</v>
          </cell>
        </row>
        <row r="7558">
          <cell r="A7558" t="str">
            <v>804E15050</v>
          </cell>
          <cell r="C7558" t="str">
            <v>FT</v>
          </cell>
          <cell r="D7558" t="str">
            <v>FIBER OPTIC CABLE, 288 FIBER</v>
          </cell>
          <cell r="G7558">
            <v>0</v>
          </cell>
        </row>
        <row r="7559">
          <cell r="A7559" t="str">
            <v>804E19001</v>
          </cell>
          <cell r="C7559" t="str">
            <v>FT</v>
          </cell>
          <cell r="D7559" t="str">
            <v>FIBER OPTIC CABLE, HYBRID, SM / MM</v>
          </cell>
          <cell r="G7559">
            <v>0</v>
          </cell>
        </row>
        <row r="7560">
          <cell r="A7560" t="str">
            <v>804E19080</v>
          </cell>
          <cell r="C7560" t="str">
            <v>FT</v>
          </cell>
          <cell r="D7560" t="str">
            <v>FIBER OPTIC CABLE, ARMORED, 12 FIBER</v>
          </cell>
          <cell r="G7560">
            <v>0</v>
          </cell>
        </row>
        <row r="7561">
          <cell r="A7561" t="str">
            <v>804E20000</v>
          </cell>
          <cell r="C7561" t="str">
            <v>FT</v>
          </cell>
          <cell r="D7561" t="str">
            <v>FIBER OPTIC CABLE, 18 FIBER</v>
          </cell>
          <cell r="G7561">
            <v>0</v>
          </cell>
        </row>
        <row r="7562">
          <cell r="A7562" t="str">
            <v>804E20009</v>
          </cell>
          <cell r="C7562" t="str">
            <v>FT</v>
          </cell>
          <cell r="D7562" t="str">
            <v>FIBER OPTIC CABLE, 72 FIBER, AS PER PLAN</v>
          </cell>
          <cell r="G7562">
            <v>0</v>
          </cell>
        </row>
        <row r="7563">
          <cell r="A7563" t="str">
            <v>804E20010</v>
          </cell>
          <cell r="C7563" t="str">
            <v>FT</v>
          </cell>
          <cell r="D7563" t="str">
            <v>FIBER OPTIC CABLE, ARMORED, 18 FIBER</v>
          </cell>
          <cell r="G7563">
            <v>0</v>
          </cell>
        </row>
        <row r="7564">
          <cell r="A7564" t="str">
            <v>804E20011</v>
          </cell>
          <cell r="C7564" t="str">
            <v>FT</v>
          </cell>
          <cell r="D7564" t="str">
            <v>FIBER OPTIC CABLE, ARMORED, 18 FIBER, AS PER PLAN</v>
          </cell>
          <cell r="G7564">
            <v>0</v>
          </cell>
        </row>
        <row r="7565">
          <cell r="A7565" t="str">
            <v>804E20020</v>
          </cell>
          <cell r="C7565" t="str">
            <v>FT</v>
          </cell>
          <cell r="D7565" t="str">
            <v>FIBER OPTIC CABLE, INTEGRAL MESSENGER WIRE, 18 FIBER</v>
          </cell>
          <cell r="G7565">
            <v>0</v>
          </cell>
        </row>
        <row r="7566">
          <cell r="A7566" t="str">
            <v>804E20034</v>
          </cell>
          <cell r="C7566" t="str">
            <v>FT</v>
          </cell>
          <cell r="D7566" t="str">
            <v>FIBER OPTIC CABLE, ARMORED, 24 FIBER</v>
          </cell>
          <cell r="G7566">
            <v>0</v>
          </cell>
        </row>
        <row r="7567">
          <cell r="A7567" t="str">
            <v>804E20044</v>
          </cell>
          <cell r="C7567" t="str">
            <v>FT</v>
          </cell>
          <cell r="D7567" t="str">
            <v>FIBER OPTIC CABLE, ARMORED, 36 FIBER</v>
          </cell>
          <cell r="G7567">
            <v>0</v>
          </cell>
        </row>
        <row r="7568">
          <cell r="A7568" t="str">
            <v>804E20050</v>
          </cell>
          <cell r="C7568" t="str">
            <v>FT</v>
          </cell>
          <cell r="D7568" t="str">
            <v>FIBER OPTIC CABLE, ARMORED, 48 FIBER</v>
          </cell>
          <cell r="G7568">
            <v>0</v>
          </cell>
        </row>
        <row r="7569">
          <cell r="A7569" t="str">
            <v>804E20056</v>
          </cell>
          <cell r="C7569" t="str">
            <v>FT</v>
          </cell>
          <cell r="D7569" t="str">
            <v>FIBER OPTIC CABLE, ARMORED, 60 FIBER</v>
          </cell>
          <cell r="G7569">
            <v>0</v>
          </cell>
        </row>
        <row r="7570">
          <cell r="A7570" t="str">
            <v>804E20110</v>
          </cell>
          <cell r="C7570" t="str">
            <v>FT</v>
          </cell>
          <cell r="D7570" t="str">
            <v>FIBER OPTIC CABLE, ARMORED, 108 FIBER</v>
          </cell>
          <cell r="G7570">
            <v>0</v>
          </cell>
        </row>
        <row r="7571">
          <cell r="A7571" t="str">
            <v>804E20114</v>
          </cell>
          <cell r="C7571" t="str">
            <v>FT</v>
          </cell>
          <cell r="D7571" t="str">
            <v>FIBER OPTIC CABLE, ARMORED, 144 FIBER</v>
          </cell>
          <cell r="G7571">
            <v>0</v>
          </cell>
        </row>
        <row r="7572">
          <cell r="A7572" t="str">
            <v>804E20220</v>
          </cell>
          <cell r="C7572" t="str">
            <v>FT</v>
          </cell>
          <cell r="D7572" t="str">
            <v>FIBER OPTIC CABLE, ARMORED, INTEGRAL MESSENGER, 12 FIBER</v>
          </cell>
          <cell r="G7572">
            <v>0</v>
          </cell>
        </row>
        <row r="7573">
          <cell r="A7573" t="str">
            <v>804E20240</v>
          </cell>
          <cell r="C7573" t="str">
            <v>FT</v>
          </cell>
          <cell r="D7573" t="str">
            <v>FIBER OPTIC CABLE, ARMORED, INTEGRAL MESSENGER, 24 FIBER</v>
          </cell>
          <cell r="G7573">
            <v>0</v>
          </cell>
        </row>
        <row r="7574">
          <cell r="A7574" t="str">
            <v>804E20260</v>
          </cell>
          <cell r="C7574" t="str">
            <v>FT</v>
          </cell>
          <cell r="D7574" t="str">
            <v>FIBER OPTIC CABLE, ARMORED, INTEGRAL MESSENGER, 48 FIBER</v>
          </cell>
          <cell r="G7574">
            <v>0</v>
          </cell>
        </row>
        <row r="7575">
          <cell r="A7575" t="str">
            <v>804E20266</v>
          </cell>
          <cell r="C7575" t="str">
            <v>FT</v>
          </cell>
          <cell r="D7575" t="str">
            <v>FIBER OPTIC CABLE, ARMORED, INTEGRAL MESSENGER, 36 FIBER</v>
          </cell>
          <cell r="G7575">
            <v>0</v>
          </cell>
        </row>
        <row r="7576">
          <cell r="A7576" t="str">
            <v>804E20280</v>
          </cell>
          <cell r="C7576" t="str">
            <v>FT</v>
          </cell>
          <cell r="D7576" t="str">
            <v>FIBER OPTIC CABLE, ARMORED, INTEGRAL MESSENGER, 144 FIBER</v>
          </cell>
          <cell r="G7576">
            <v>0</v>
          </cell>
        </row>
        <row r="7577">
          <cell r="A7577" t="str">
            <v>804E29990</v>
          </cell>
          <cell r="C7577" t="str">
            <v>EACH</v>
          </cell>
          <cell r="D7577" t="str">
            <v>FAN-OUT KIT, 2 FIBER</v>
          </cell>
          <cell r="G7577">
            <v>0</v>
          </cell>
        </row>
        <row r="7578">
          <cell r="A7578" t="str">
            <v>804E30000</v>
          </cell>
          <cell r="C7578" t="str">
            <v>EACH</v>
          </cell>
          <cell r="D7578" t="str">
            <v>FAN-OUT KIT, 6 FIBER</v>
          </cell>
          <cell r="G7578">
            <v>0</v>
          </cell>
        </row>
        <row r="7579">
          <cell r="A7579" t="str">
            <v>804E30001</v>
          </cell>
          <cell r="C7579" t="str">
            <v>EACH</v>
          </cell>
          <cell r="D7579" t="str">
            <v>FAN-OUT KIT, 6 FIBER, AS PER PLAN</v>
          </cell>
          <cell r="G7579">
            <v>0</v>
          </cell>
        </row>
        <row r="7580">
          <cell r="A7580" t="str">
            <v>804E30010</v>
          </cell>
          <cell r="C7580" t="str">
            <v>EACH</v>
          </cell>
          <cell r="D7580" t="str">
            <v>FAN-OUT KIT, 12 FIBER</v>
          </cell>
          <cell r="G7580">
            <v>0</v>
          </cell>
        </row>
        <row r="7581">
          <cell r="A7581" t="str">
            <v>804E30011</v>
          </cell>
          <cell r="C7581" t="str">
            <v>EACH</v>
          </cell>
          <cell r="D7581" t="str">
            <v>FAN-OUT KIT, 12 FIBER, AS PER PLAN</v>
          </cell>
          <cell r="G7581">
            <v>0</v>
          </cell>
        </row>
        <row r="7582">
          <cell r="A7582" t="str">
            <v>804E31990</v>
          </cell>
          <cell r="C7582" t="str">
            <v>EACH</v>
          </cell>
          <cell r="D7582" t="str">
            <v>DROP CABLE, 2 FIBER</v>
          </cell>
          <cell r="G7582">
            <v>0</v>
          </cell>
        </row>
        <row r="7583">
          <cell r="A7583" t="str">
            <v>804E32000</v>
          </cell>
          <cell r="C7583" t="str">
            <v>EACH</v>
          </cell>
          <cell r="D7583" t="str">
            <v>DROP CABLE, 6 FIBER</v>
          </cell>
          <cell r="G7583">
            <v>0</v>
          </cell>
        </row>
        <row r="7584">
          <cell r="A7584" t="str">
            <v>804E32001</v>
          </cell>
          <cell r="C7584" t="str">
            <v>EACH</v>
          </cell>
          <cell r="D7584" t="str">
            <v>DROP CABLE, 6 FIBER, AS PER PLAN</v>
          </cell>
          <cell r="G7584">
            <v>0</v>
          </cell>
        </row>
        <row r="7585">
          <cell r="A7585" t="str">
            <v>804E32010</v>
          </cell>
          <cell r="C7585" t="str">
            <v>EACH</v>
          </cell>
          <cell r="D7585" t="str">
            <v>DROP CABLE, 12 FIBER</v>
          </cell>
          <cell r="G7585">
            <v>0</v>
          </cell>
        </row>
        <row r="7586">
          <cell r="A7586" t="str">
            <v>804E32011</v>
          </cell>
          <cell r="C7586" t="str">
            <v>EACH</v>
          </cell>
          <cell r="D7586" t="str">
            <v>DROP CABLE, 12 FIBER, AS PER PLAN</v>
          </cell>
          <cell r="G7586">
            <v>0</v>
          </cell>
        </row>
        <row r="7587">
          <cell r="A7587" t="str">
            <v>804E32020</v>
          </cell>
          <cell r="C7587" t="str">
            <v>FT</v>
          </cell>
          <cell r="D7587" t="str">
            <v>DROP CABLE, 6 FIBER</v>
          </cell>
          <cell r="G7587">
            <v>0</v>
          </cell>
        </row>
        <row r="7588">
          <cell r="A7588" t="str">
            <v>804E32021</v>
          </cell>
          <cell r="C7588" t="str">
            <v>FT</v>
          </cell>
          <cell r="D7588" t="str">
            <v>DROP CABLE, 6 FIBER, AS PER PLAN</v>
          </cell>
          <cell r="G7588">
            <v>0</v>
          </cell>
        </row>
        <row r="7589">
          <cell r="A7589" t="str">
            <v>804E32040</v>
          </cell>
          <cell r="C7589" t="str">
            <v>FT</v>
          </cell>
          <cell r="D7589" t="str">
            <v>DROP CABLE, 12 FIBER</v>
          </cell>
          <cell r="G7589">
            <v>0</v>
          </cell>
        </row>
        <row r="7590">
          <cell r="A7590" t="str">
            <v>804E32060</v>
          </cell>
          <cell r="C7590" t="str">
            <v>FT</v>
          </cell>
          <cell r="D7590" t="str">
            <v>DROP CABLE, 24 FIBER</v>
          </cell>
          <cell r="F7590" t="str">
            <v>CHECK UNITS</v>
          </cell>
          <cell r="G7590">
            <v>0</v>
          </cell>
        </row>
        <row r="7591">
          <cell r="A7591" t="str">
            <v>804E32990</v>
          </cell>
          <cell r="C7591" t="str">
            <v>EACH</v>
          </cell>
          <cell r="D7591" t="str">
            <v>FIBER OPTIC PATCH CORD, 2 FIBER</v>
          </cell>
          <cell r="G7591">
            <v>0</v>
          </cell>
        </row>
        <row r="7592">
          <cell r="A7592" t="str">
            <v>804E33000</v>
          </cell>
          <cell r="C7592" t="str">
            <v>EACH</v>
          </cell>
          <cell r="D7592" t="str">
            <v>FIBER OPTIC PATCH CORD, 4 FIBER</v>
          </cell>
          <cell r="G7592">
            <v>0</v>
          </cell>
        </row>
        <row r="7593">
          <cell r="A7593" t="str">
            <v>804E33001</v>
          </cell>
          <cell r="C7593" t="str">
            <v>EACH</v>
          </cell>
          <cell r="D7593" t="str">
            <v>FIBER OPTIC PATCH CORD, 4 FIBER, AS PER PLAN</v>
          </cell>
          <cell r="G7593">
            <v>0</v>
          </cell>
        </row>
        <row r="7594">
          <cell r="A7594" t="str">
            <v>804E33990</v>
          </cell>
          <cell r="C7594" t="str">
            <v>EACH</v>
          </cell>
          <cell r="D7594" t="str">
            <v>FIBER OPTIC PATCH CORD, 1 FIBER</v>
          </cell>
          <cell r="G7594">
            <v>0</v>
          </cell>
        </row>
        <row r="7595">
          <cell r="A7595" t="str">
            <v>804E33991</v>
          </cell>
          <cell r="C7595" t="str">
            <v>EACH</v>
          </cell>
          <cell r="D7595" t="str">
            <v>FIBER OPTIC PATCH CORD, 1 FIBER, AS PER PLAN</v>
          </cell>
          <cell r="G7595">
            <v>0</v>
          </cell>
        </row>
        <row r="7596">
          <cell r="A7596" t="str">
            <v>804E33996</v>
          </cell>
          <cell r="C7596" t="str">
            <v>EACH</v>
          </cell>
          <cell r="D7596" t="str">
            <v>TERMINATION PANEL, 2 FIBER</v>
          </cell>
          <cell r="G7596">
            <v>0</v>
          </cell>
        </row>
        <row r="7597">
          <cell r="A7597" t="str">
            <v>804E34000</v>
          </cell>
          <cell r="C7597" t="str">
            <v>EACH</v>
          </cell>
          <cell r="D7597" t="str">
            <v>TERMINATION PANEL, 6 FIBER</v>
          </cell>
          <cell r="G7597">
            <v>0</v>
          </cell>
        </row>
        <row r="7598">
          <cell r="A7598" t="str">
            <v>804E34001</v>
          </cell>
          <cell r="C7598" t="str">
            <v>EACH</v>
          </cell>
          <cell r="D7598" t="str">
            <v>TERMINATION PANEL, 6 FIBER, AS PER PLAN</v>
          </cell>
          <cell r="G7598">
            <v>0</v>
          </cell>
        </row>
        <row r="7599">
          <cell r="A7599" t="str">
            <v>804E34012</v>
          </cell>
          <cell r="C7599" t="str">
            <v>EACH</v>
          </cell>
          <cell r="D7599" t="str">
            <v>TERMINATION PANEL, 12 FIBER</v>
          </cell>
          <cell r="G7599">
            <v>0</v>
          </cell>
        </row>
        <row r="7600">
          <cell r="A7600" t="str">
            <v>804E34013</v>
          </cell>
          <cell r="C7600" t="str">
            <v>EACH</v>
          </cell>
          <cell r="D7600" t="str">
            <v>TERMINATION PANEL, 12 FIBER, AS PER PLAN</v>
          </cell>
          <cell r="G7600">
            <v>0</v>
          </cell>
        </row>
        <row r="7601">
          <cell r="A7601" t="str">
            <v>804E34022</v>
          </cell>
          <cell r="C7601" t="str">
            <v>EACH</v>
          </cell>
          <cell r="D7601" t="str">
            <v>TERMINATION PANEL, 24 FIBER</v>
          </cell>
          <cell r="G7601">
            <v>0</v>
          </cell>
        </row>
        <row r="7602">
          <cell r="A7602" t="str">
            <v>804E34023</v>
          </cell>
          <cell r="C7602" t="str">
            <v>EACH</v>
          </cell>
          <cell r="D7602" t="str">
            <v>TERMINATION PANEL, 24 FIBER, AS PER PLAN</v>
          </cell>
          <cell r="G7602">
            <v>0</v>
          </cell>
        </row>
        <row r="7603">
          <cell r="A7603" t="str">
            <v>804E34026</v>
          </cell>
          <cell r="C7603" t="str">
            <v>EACH</v>
          </cell>
          <cell r="D7603" t="str">
            <v>TERMINATION PANEL, 36 FIBER</v>
          </cell>
          <cell r="G7603">
            <v>0</v>
          </cell>
        </row>
        <row r="7604">
          <cell r="A7604" t="str">
            <v>804E34030</v>
          </cell>
          <cell r="C7604" t="str">
            <v>EACH</v>
          </cell>
          <cell r="D7604" t="str">
            <v>TERMINATION PANEL, 48 FIBER</v>
          </cell>
          <cell r="G7604">
            <v>0</v>
          </cell>
        </row>
        <row r="7605">
          <cell r="A7605" t="str">
            <v>804E34042</v>
          </cell>
          <cell r="C7605" t="str">
            <v>EACH</v>
          </cell>
          <cell r="D7605" t="str">
            <v>TERMINATION PANEL, 72 FIBER</v>
          </cell>
          <cell r="G7605">
            <v>0</v>
          </cell>
        </row>
        <row r="7606">
          <cell r="A7606" t="str">
            <v>804E34062</v>
          </cell>
          <cell r="C7606" t="str">
            <v>EACH</v>
          </cell>
          <cell r="D7606" t="str">
            <v>TERMINATION PANEL, 144 FIBER</v>
          </cell>
          <cell r="G7606">
            <v>0</v>
          </cell>
        </row>
        <row r="7607">
          <cell r="A7607" t="str">
            <v>804E34082</v>
          </cell>
          <cell r="C7607" t="str">
            <v>EACH</v>
          </cell>
          <cell r="D7607" t="str">
            <v>TERMINATION PANEL, 288 FIBER</v>
          </cell>
          <cell r="G7607">
            <v>0</v>
          </cell>
        </row>
        <row r="7608">
          <cell r="A7608" t="str">
            <v>804E35000</v>
          </cell>
          <cell r="C7608" t="str">
            <v>EACH</v>
          </cell>
          <cell r="D7608" t="str">
            <v>FUSION SPLICE</v>
          </cell>
          <cell r="G7608">
            <v>0</v>
          </cell>
        </row>
        <row r="7609">
          <cell r="A7609" t="str">
            <v>804E35001</v>
          </cell>
          <cell r="C7609" t="str">
            <v>EACH</v>
          </cell>
          <cell r="D7609" t="str">
            <v>FUSION SPLICE, AS PER PLAN</v>
          </cell>
          <cell r="G7609">
            <v>0</v>
          </cell>
        </row>
        <row r="7610">
          <cell r="A7610" t="str">
            <v>804E35010</v>
          </cell>
          <cell r="C7610" t="str">
            <v>EACH</v>
          </cell>
          <cell r="D7610" t="str">
            <v>FIBER OPTIC FUSION SPLICER</v>
          </cell>
          <cell r="G7610">
            <v>0</v>
          </cell>
        </row>
        <row r="7611">
          <cell r="A7611" t="str">
            <v>804E36000</v>
          </cell>
          <cell r="C7611" t="str">
            <v>EACH</v>
          </cell>
          <cell r="D7611" t="str">
            <v>SLACK INSTALLATION</v>
          </cell>
          <cell r="G7611">
            <v>0</v>
          </cell>
        </row>
        <row r="7612">
          <cell r="A7612" t="str">
            <v>804E36001</v>
          </cell>
          <cell r="C7612" t="str">
            <v>EACH</v>
          </cell>
          <cell r="D7612" t="str">
            <v>SLACK INSTALLATION, AS PER PLAN</v>
          </cell>
          <cell r="G7612">
            <v>0</v>
          </cell>
        </row>
        <row r="7613">
          <cell r="A7613" t="str">
            <v>804E37000</v>
          </cell>
          <cell r="C7613" t="str">
            <v>EACH</v>
          </cell>
          <cell r="D7613" t="str">
            <v>SPLICE ENCLOSURE</v>
          </cell>
          <cell r="G7613">
            <v>0</v>
          </cell>
        </row>
        <row r="7614">
          <cell r="A7614" t="str">
            <v>804E37001</v>
          </cell>
          <cell r="C7614" t="str">
            <v>EACH</v>
          </cell>
          <cell r="D7614" t="str">
            <v>SPLICE ENCLOSURE, AS PER PLAN</v>
          </cell>
          <cell r="G7614">
            <v>0</v>
          </cell>
        </row>
        <row r="7615">
          <cell r="A7615" t="str">
            <v>804E37500</v>
          </cell>
          <cell r="C7615" t="str">
            <v>EACH</v>
          </cell>
          <cell r="D7615" t="str">
            <v>FIBER OPTIC CONNECTOR</v>
          </cell>
          <cell r="G7615">
            <v>0</v>
          </cell>
        </row>
        <row r="7616">
          <cell r="A7616" t="str">
            <v>804E37501</v>
          </cell>
          <cell r="C7616" t="str">
            <v>EACH</v>
          </cell>
          <cell r="D7616" t="str">
            <v>FIBER OPTIC CONNECTOR, AS PER PLAN</v>
          </cell>
          <cell r="G7616">
            <v>0</v>
          </cell>
        </row>
        <row r="7617">
          <cell r="A7617" t="str">
            <v>804E37700</v>
          </cell>
          <cell r="C7617" t="str">
            <v>LS</v>
          </cell>
          <cell r="D7617" t="str">
            <v>FIBER OPTIC CABLE TESTING</v>
          </cell>
          <cell r="G7617">
            <v>0</v>
          </cell>
        </row>
        <row r="7618">
          <cell r="A7618" t="str">
            <v>804E37701</v>
          </cell>
          <cell r="C7618" t="str">
            <v>LS</v>
          </cell>
          <cell r="D7618" t="str">
            <v>FIBER OPTIC CABLE TESTING, AS PER PLAN</v>
          </cell>
          <cell r="G7618">
            <v>0</v>
          </cell>
        </row>
        <row r="7619">
          <cell r="A7619" t="str">
            <v>804E37800</v>
          </cell>
          <cell r="C7619" t="str">
            <v>LS</v>
          </cell>
          <cell r="D7619" t="str">
            <v>FIBER OPTIC TRAINING</v>
          </cell>
          <cell r="G7619">
            <v>0</v>
          </cell>
        </row>
        <row r="7620">
          <cell r="A7620" t="str">
            <v>804E38000</v>
          </cell>
          <cell r="C7620" t="str">
            <v>EACH</v>
          </cell>
          <cell r="D7620" t="str">
            <v>FIBER OPTIC CABLE MODEM</v>
          </cell>
          <cell r="G7620">
            <v>0</v>
          </cell>
        </row>
        <row r="7621">
          <cell r="A7621" t="str">
            <v>804E38001</v>
          </cell>
          <cell r="C7621" t="str">
            <v>EACH</v>
          </cell>
          <cell r="D7621" t="str">
            <v>FIBER OPTIC CABLE MODEM, AS PER PLAN</v>
          </cell>
          <cell r="G7621">
            <v>0</v>
          </cell>
        </row>
        <row r="7622">
          <cell r="A7622" t="str">
            <v>804E38100</v>
          </cell>
          <cell r="C7622" t="str">
            <v>EACH</v>
          </cell>
          <cell r="D7622" t="str">
            <v>FIBER OPTIC CABLE MEDIA CONVERTER, ETHERNET</v>
          </cell>
          <cell r="G7622">
            <v>0</v>
          </cell>
        </row>
        <row r="7623">
          <cell r="A7623" t="str">
            <v>804E38101</v>
          </cell>
          <cell r="C7623" t="str">
            <v>EACH</v>
          </cell>
          <cell r="D7623" t="str">
            <v>FIBER OPTIC CABLE MEDIA CONVERTER, ETHERNET, AS PER PLAN</v>
          </cell>
          <cell r="G7623">
            <v>0</v>
          </cell>
        </row>
        <row r="7624">
          <cell r="A7624" t="str">
            <v>804E38150</v>
          </cell>
          <cell r="C7624" t="str">
            <v>EACH</v>
          </cell>
          <cell r="D7624" t="str">
            <v>FIBER OPTIC CABLE MEDIA CONVERTER, SERIAL</v>
          </cell>
          <cell r="G7624">
            <v>0</v>
          </cell>
        </row>
        <row r="7625">
          <cell r="A7625" t="str">
            <v>804E38151</v>
          </cell>
          <cell r="C7625" t="str">
            <v>EACH</v>
          </cell>
          <cell r="D7625" t="str">
            <v>FIBER OPTIC CABLE MEDIA CONVERTER, SERIAL, AS PER PLAN</v>
          </cell>
          <cell r="G7625">
            <v>0</v>
          </cell>
        </row>
        <row r="7626">
          <cell r="A7626" t="str">
            <v>804E39000</v>
          </cell>
          <cell r="C7626" t="str">
            <v>EACH</v>
          </cell>
          <cell r="D7626" t="str">
            <v>FIBER OPTIC OPTICAL TIME DOMAIN REFLECTOMETER (OTDR)</v>
          </cell>
          <cell r="G7626">
            <v>0</v>
          </cell>
        </row>
        <row r="7627">
          <cell r="A7627" t="str">
            <v>804E39100</v>
          </cell>
          <cell r="C7627" t="str">
            <v>EACH</v>
          </cell>
          <cell r="D7627" t="str">
            <v>FIBER OPTIC CLEAVER</v>
          </cell>
          <cell r="G7627">
            <v>0</v>
          </cell>
        </row>
        <row r="7628">
          <cell r="A7628" t="str">
            <v>804E39200</v>
          </cell>
          <cell r="C7628" t="str">
            <v>EACH</v>
          </cell>
          <cell r="D7628" t="str">
            <v>FIBER OPTIC POWER METER</v>
          </cell>
          <cell r="G7628">
            <v>0</v>
          </cell>
        </row>
        <row r="7629">
          <cell r="A7629" t="str">
            <v>804E39300</v>
          </cell>
          <cell r="C7629" t="str">
            <v>EACH</v>
          </cell>
          <cell r="D7629" t="str">
            <v>FIBER OPTIC VISUAL FAULT LOCATOR</v>
          </cell>
          <cell r="G7629">
            <v>0</v>
          </cell>
        </row>
        <row r="7630">
          <cell r="A7630" t="str">
            <v>804E98000</v>
          </cell>
          <cell r="C7630" t="str">
            <v>FT</v>
          </cell>
          <cell r="D7630" t="str">
            <v>FIBER OPTIC CABLE, MISC.:</v>
          </cell>
          <cell r="F7630" t="str">
            <v>ADD SUPPLEMENTAL DESCRIPTION</v>
          </cell>
          <cell r="G7630">
            <v>1</v>
          </cell>
        </row>
        <row r="7631">
          <cell r="A7631" t="str">
            <v>804E98100</v>
          </cell>
          <cell r="C7631" t="str">
            <v>EACH</v>
          </cell>
          <cell r="D7631" t="str">
            <v>FIBER OPTIC CABLE, MISC.:</v>
          </cell>
          <cell r="F7631" t="str">
            <v>ADD SUPPLEMENTAL DESCRIPTION</v>
          </cell>
          <cell r="G7631">
            <v>1</v>
          </cell>
        </row>
        <row r="7632">
          <cell r="A7632" t="str">
            <v>804E99000</v>
          </cell>
          <cell r="B7632" t="str">
            <v>Y</v>
          </cell>
          <cell r="C7632" t="str">
            <v>LS</v>
          </cell>
          <cell r="D7632" t="str">
            <v>SPECIAL - FIBER OPTIC CABLE AND COMPONENTS</v>
          </cell>
          <cell r="F7632" t="str">
            <v>DESIGN BUILD PROJECTS ONLY</v>
          </cell>
          <cell r="G7632">
            <v>1</v>
          </cell>
        </row>
        <row r="7633">
          <cell r="A7633" t="str">
            <v>805E00100</v>
          </cell>
          <cell r="C7633" t="str">
            <v>EACH</v>
          </cell>
          <cell r="D7633" t="str">
            <v>GLOBAL POSITIONING SYSTEM CLOCK ASSEMBLY</v>
          </cell>
          <cell r="G7633">
            <v>0</v>
          </cell>
        </row>
        <row r="7634">
          <cell r="A7634" t="str">
            <v>805E00101</v>
          </cell>
          <cell r="C7634" t="str">
            <v>EACH</v>
          </cell>
          <cell r="D7634" t="str">
            <v>GLOBAL POSITIONING SYSTEM CLOCK ASSEMBLY, AS PER PLAN</v>
          </cell>
          <cell r="G7634">
            <v>0</v>
          </cell>
        </row>
        <row r="7635">
          <cell r="A7635" t="str">
            <v>806E00100</v>
          </cell>
          <cell r="C7635" t="str">
            <v>CY</v>
          </cell>
          <cell r="D7635" t="str">
            <v>ASPHALT CONCRETE SURFACE COURSE, 12.5MM, TYPE A</v>
          </cell>
          <cell r="G7635">
            <v>0</v>
          </cell>
        </row>
        <row r="7636">
          <cell r="A7636" t="str">
            <v>806E00101</v>
          </cell>
          <cell r="C7636" t="str">
            <v>CY</v>
          </cell>
          <cell r="D7636" t="str">
            <v>ASPHALT CONCRETE SURFACE COURSE, 12.5MM, TYPE A, AS PER PLAN</v>
          </cell>
          <cell r="G7636">
            <v>0</v>
          </cell>
        </row>
        <row r="7637">
          <cell r="A7637" t="str">
            <v>806E00200</v>
          </cell>
          <cell r="C7637" t="str">
            <v>CY</v>
          </cell>
          <cell r="D7637" t="str">
            <v>ASPHALT CONCRETE SURFACE COURSE, 12.5MM, TYPE B</v>
          </cell>
          <cell r="G7637">
            <v>0</v>
          </cell>
        </row>
        <row r="7638">
          <cell r="A7638" t="str">
            <v>806E10100</v>
          </cell>
          <cell r="C7638" t="str">
            <v>CY</v>
          </cell>
          <cell r="D7638" t="str">
            <v>ASPHALT CONCRETE SURFACE COURSE, 9.5MM, TYPE A</v>
          </cell>
          <cell r="G7638">
            <v>0</v>
          </cell>
        </row>
        <row r="7639">
          <cell r="A7639" t="str">
            <v>806E10200</v>
          </cell>
          <cell r="C7639" t="str">
            <v>CY</v>
          </cell>
          <cell r="D7639" t="str">
            <v>ASPHALT CONCRETE SURFACE COURSE, 9.5MM, TYPE B</v>
          </cell>
          <cell r="G7639">
            <v>0</v>
          </cell>
        </row>
        <row r="7640">
          <cell r="A7640" t="str">
            <v>809E60000</v>
          </cell>
          <cell r="C7640" t="str">
            <v>EACH</v>
          </cell>
          <cell r="D7640" t="str">
            <v>CCTV IP-CAMERA SYSTEM, DOME-TYPE</v>
          </cell>
          <cell r="G7640">
            <v>0</v>
          </cell>
        </row>
        <row r="7641">
          <cell r="A7641" t="str">
            <v>809E60010</v>
          </cell>
          <cell r="C7641" t="str">
            <v>EACH</v>
          </cell>
          <cell r="D7641" t="str">
            <v>CCTV IP-CAMERA SYSTEM, TYPE HD, WALL/TUNNEL</v>
          </cell>
          <cell r="G7641">
            <v>0</v>
          </cell>
        </row>
        <row r="7642">
          <cell r="A7642" t="str">
            <v>809E60020</v>
          </cell>
          <cell r="C7642" t="str">
            <v>DAY</v>
          </cell>
          <cell r="D7642" t="str">
            <v>CCTV IP-CAMERA SYSTEM, PORTABLE</v>
          </cell>
          <cell r="F7642" t="str">
            <v>CHECK UNIT OF MEASURE</v>
          </cell>
          <cell r="G7642">
            <v>0</v>
          </cell>
        </row>
        <row r="7643">
          <cell r="A7643" t="str">
            <v>809E61000</v>
          </cell>
          <cell r="C7643" t="str">
            <v>EACH</v>
          </cell>
          <cell r="D7643" t="str">
            <v>CCTV CONCRETE POLE WITH LOWERING UNIT, 70 FEET</v>
          </cell>
          <cell r="G7643">
            <v>0</v>
          </cell>
        </row>
        <row r="7644">
          <cell r="A7644" t="str">
            <v>809E61010</v>
          </cell>
          <cell r="C7644" t="str">
            <v>EACH</v>
          </cell>
          <cell r="D7644" t="str">
            <v>CCTV CONCRETE POLE WITH LOWERING UNIT, 50 FEET</v>
          </cell>
          <cell r="G7644">
            <v>0</v>
          </cell>
        </row>
        <row r="7645">
          <cell r="A7645" t="str">
            <v>809E61090</v>
          </cell>
          <cell r="C7645" t="str">
            <v>EACH</v>
          </cell>
          <cell r="D7645" t="str">
            <v>CCTV LOWERING UNIT</v>
          </cell>
          <cell r="G7645">
            <v>0</v>
          </cell>
        </row>
        <row r="7646">
          <cell r="A7646" t="str">
            <v>809E63000</v>
          </cell>
          <cell r="C7646" t="str">
            <v>EACH</v>
          </cell>
          <cell r="D7646" t="str">
            <v>DYNAMIC MESSAGE SIGN (DMS), FULL-SIZE WALK-IN</v>
          </cell>
          <cell r="G7646">
            <v>0</v>
          </cell>
        </row>
        <row r="7647">
          <cell r="A7647" t="str">
            <v>809E63001</v>
          </cell>
          <cell r="C7647" t="str">
            <v>EACH</v>
          </cell>
          <cell r="D7647" t="str">
            <v>DYNAMIC MESSAGE SIGN (DMS), FULL-SIZE WALK-IN, AS PER PLAN</v>
          </cell>
          <cell r="G7647">
            <v>0</v>
          </cell>
        </row>
        <row r="7648">
          <cell r="A7648" t="str">
            <v>809E63010</v>
          </cell>
          <cell r="C7648" t="str">
            <v>EACH</v>
          </cell>
          <cell r="D7648" t="str">
            <v>DYNAMIC MESSAGE SIGN (DMS), FRONT-ACCESS</v>
          </cell>
          <cell r="G7648">
            <v>0</v>
          </cell>
        </row>
        <row r="7649">
          <cell r="A7649" t="str">
            <v>809E63020</v>
          </cell>
          <cell r="C7649" t="str">
            <v>EACH</v>
          </cell>
          <cell r="D7649" t="str">
            <v>DESTINATION DYNAMIC MESSAGE SIGN (DDMS),FREEWAY- TWO-LINE</v>
          </cell>
          <cell r="G7649">
            <v>0</v>
          </cell>
        </row>
        <row r="7650">
          <cell r="A7650" t="str">
            <v>809E63030</v>
          </cell>
          <cell r="C7650" t="str">
            <v>EACH</v>
          </cell>
          <cell r="D7650" t="str">
            <v>DESTINATION DYNAMIC MESSAGE SIGN (DDMS),FREEWAY- THREE-LINE</v>
          </cell>
          <cell r="G7650">
            <v>0</v>
          </cell>
        </row>
        <row r="7651">
          <cell r="A7651" t="str">
            <v>809E63040</v>
          </cell>
          <cell r="C7651" t="str">
            <v>EACH</v>
          </cell>
          <cell r="D7651" t="str">
            <v>DESTINATION DYNAMIC MESSAGE SIGN (DDMS), ARTERIAL -TWO-LINE</v>
          </cell>
          <cell r="G7651">
            <v>0</v>
          </cell>
        </row>
        <row r="7652">
          <cell r="A7652" t="str">
            <v>809E63050</v>
          </cell>
          <cell r="C7652" t="str">
            <v>EACH</v>
          </cell>
          <cell r="D7652" t="str">
            <v>DESTINATION DYNAMIC MESSAGE SIGN (DDMS), ARTERIAL -THREE-LINE</v>
          </cell>
          <cell r="G7652">
            <v>0</v>
          </cell>
        </row>
        <row r="7653">
          <cell r="A7653" t="str">
            <v>809E64000</v>
          </cell>
          <cell r="C7653" t="str">
            <v>EACH</v>
          </cell>
          <cell r="D7653" t="str">
            <v>HIGHWAY ADVISORY RADIO (HAR) ASSEMBLY</v>
          </cell>
          <cell r="G7653">
            <v>0</v>
          </cell>
        </row>
        <row r="7654">
          <cell r="A7654" t="str">
            <v>809E64010</v>
          </cell>
          <cell r="C7654" t="str">
            <v>EACH</v>
          </cell>
          <cell r="D7654" t="str">
            <v>HIGHWAY ADVISORY RADIO (HAR) FLASHING BEACON SYSTEM</v>
          </cell>
          <cell r="G7654">
            <v>0</v>
          </cell>
        </row>
        <row r="7655">
          <cell r="A7655" t="str">
            <v>809E64500</v>
          </cell>
          <cell r="C7655" t="str">
            <v>EACH</v>
          </cell>
          <cell r="D7655" t="str">
            <v>HIGH-SPEED ETHERNET RADIO</v>
          </cell>
          <cell r="G7655">
            <v>0</v>
          </cell>
        </row>
        <row r="7656">
          <cell r="A7656" t="str">
            <v>809E64550</v>
          </cell>
          <cell r="C7656" t="str">
            <v>FT</v>
          </cell>
          <cell r="D7656" t="str">
            <v>ETHERNET CABLE, OUTDOOR-RATED</v>
          </cell>
          <cell r="G7656">
            <v>0</v>
          </cell>
        </row>
        <row r="7657">
          <cell r="A7657" t="str">
            <v>809E65000</v>
          </cell>
          <cell r="C7657" t="str">
            <v>EACH</v>
          </cell>
          <cell r="D7657" t="str">
            <v>ITS CABINET - GROUND MOUNTED</v>
          </cell>
          <cell r="G7657">
            <v>0</v>
          </cell>
        </row>
        <row r="7658">
          <cell r="A7658" t="str">
            <v>809E65010</v>
          </cell>
          <cell r="C7658" t="str">
            <v>EACH</v>
          </cell>
          <cell r="D7658" t="str">
            <v>ITS CABINET - POLE MOUNTED</v>
          </cell>
          <cell r="G7658">
            <v>0</v>
          </cell>
        </row>
        <row r="7659">
          <cell r="A7659" t="str">
            <v>809E65020</v>
          </cell>
          <cell r="C7659" t="str">
            <v>EACH</v>
          </cell>
          <cell r="D7659" t="str">
            <v>ITS CABINET - POWER DISTRIBUTION CABINET (PDC)</v>
          </cell>
          <cell r="G7659">
            <v>0</v>
          </cell>
        </row>
        <row r="7660">
          <cell r="A7660" t="str">
            <v>809E65030</v>
          </cell>
          <cell r="C7660" t="str">
            <v>EACH</v>
          </cell>
          <cell r="D7660" t="str">
            <v>ITS CABINET - RAMP METER</v>
          </cell>
          <cell r="G7660">
            <v>0</v>
          </cell>
        </row>
        <row r="7661">
          <cell r="A7661" t="str">
            <v>809E65990</v>
          </cell>
          <cell r="C7661" t="str">
            <v>EACH</v>
          </cell>
          <cell r="D7661" t="str">
            <v>ITS DEVICE, MISC.:</v>
          </cell>
          <cell r="F7661" t="str">
            <v>ADD SUPPLEMENTAL DESCRIPTION</v>
          </cell>
          <cell r="G7661">
            <v>1</v>
          </cell>
        </row>
        <row r="7662">
          <cell r="A7662" t="str">
            <v>809E66000</v>
          </cell>
          <cell r="C7662" t="str">
            <v>EACH</v>
          </cell>
          <cell r="D7662" t="str">
            <v>CLOSED LOOP ARTERIAL TRAFFIC SIGNAL SYSTEM</v>
          </cell>
          <cell r="G7662">
            <v>0</v>
          </cell>
        </row>
        <row r="7663">
          <cell r="A7663" t="str">
            <v>809E66010</v>
          </cell>
          <cell r="C7663" t="str">
            <v>EACH</v>
          </cell>
          <cell r="D7663" t="str">
            <v>CENTRALLY CONTROLLED ARTERIAL TRAFFIC SIGNAL SYSTEM</v>
          </cell>
          <cell r="G7663">
            <v>0</v>
          </cell>
        </row>
        <row r="7664">
          <cell r="A7664" t="str">
            <v>809E66020</v>
          </cell>
          <cell r="C7664" t="str">
            <v>EACH</v>
          </cell>
          <cell r="D7664" t="str">
            <v>HIGHWAY RAIL / TRAFFIC SIGNAL PRE-EMPTION</v>
          </cell>
          <cell r="G7664">
            <v>0</v>
          </cell>
        </row>
        <row r="7665">
          <cell r="A7665" t="str">
            <v>809E66030</v>
          </cell>
          <cell r="C7665" t="str">
            <v>EACH</v>
          </cell>
          <cell r="D7665" t="str">
            <v>TRAFFIC SIGNAL SYSTEM WITH EMERGENCY VEHICLE PRE-EMPTION</v>
          </cell>
          <cell r="G7665">
            <v>0</v>
          </cell>
        </row>
        <row r="7666">
          <cell r="A7666" t="str">
            <v>809E66040</v>
          </cell>
          <cell r="C7666" t="str">
            <v>EACH</v>
          </cell>
          <cell r="D7666" t="str">
            <v>TRAFFIC SIGNAL SYSTEM WITH TRANSIT PRIORITY</v>
          </cell>
          <cell r="G7666">
            <v>0</v>
          </cell>
        </row>
        <row r="7667">
          <cell r="A7667" t="str">
            <v>809E66050</v>
          </cell>
          <cell r="C7667" t="str">
            <v>EACH</v>
          </cell>
          <cell r="D7667" t="str">
            <v>ADAPTIVE TRAFFIC SIGNAL CONTROL SYSTEM</v>
          </cell>
          <cell r="G7667">
            <v>0</v>
          </cell>
        </row>
        <row r="7668">
          <cell r="A7668" t="str">
            <v>809E67000</v>
          </cell>
          <cell r="C7668" t="str">
            <v>EACH</v>
          </cell>
          <cell r="D7668" t="str">
            <v>RAMP METER SYSTEM</v>
          </cell>
          <cell r="G7668">
            <v>0</v>
          </cell>
        </row>
        <row r="7669">
          <cell r="A7669" t="str">
            <v>809E67050</v>
          </cell>
          <cell r="C7669" t="str">
            <v>EACH</v>
          </cell>
          <cell r="D7669" t="str">
            <v>RAMP METER TRAINING</v>
          </cell>
          <cell r="G7669">
            <v>0</v>
          </cell>
        </row>
        <row r="7670">
          <cell r="A7670" t="str">
            <v>809E68900</v>
          </cell>
          <cell r="C7670" t="str">
            <v>EACH</v>
          </cell>
          <cell r="D7670" t="str">
            <v>SIDE-FIRED RADAR DETECTOR</v>
          </cell>
          <cell r="G7670">
            <v>0</v>
          </cell>
        </row>
        <row r="7671">
          <cell r="A7671" t="str">
            <v>809E69000</v>
          </cell>
          <cell r="C7671" t="str">
            <v>EACH</v>
          </cell>
          <cell r="D7671" t="str">
            <v>ADVANCE RADAR DETECTION</v>
          </cell>
          <cell r="G7671">
            <v>0</v>
          </cell>
        </row>
        <row r="7672">
          <cell r="A7672" t="str">
            <v>809E69001</v>
          </cell>
          <cell r="C7672" t="str">
            <v>EACH</v>
          </cell>
          <cell r="D7672" t="str">
            <v>ADVANCE RADAR DETECTION, AS PER PLAN</v>
          </cell>
          <cell r="G7672">
            <v>0</v>
          </cell>
        </row>
        <row r="7673">
          <cell r="A7673" t="str">
            <v>809E69100</v>
          </cell>
          <cell r="C7673" t="str">
            <v>EACH</v>
          </cell>
          <cell r="D7673" t="str">
            <v>STOP-BAR RADAR DETECTION</v>
          </cell>
          <cell r="G7673">
            <v>0</v>
          </cell>
        </row>
        <row r="7674">
          <cell r="A7674" t="str">
            <v>809E69101</v>
          </cell>
          <cell r="C7674" t="str">
            <v>EACH</v>
          </cell>
          <cell r="D7674" t="str">
            <v>STOP-BAR RADAR DETECTION, AS PER PLAN</v>
          </cell>
          <cell r="G7674">
            <v>0</v>
          </cell>
        </row>
        <row r="7675">
          <cell r="A7675" t="str">
            <v>809E69110</v>
          </cell>
          <cell r="C7675" t="str">
            <v>EACH</v>
          </cell>
          <cell r="D7675" t="str">
            <v>STOP-BAR &amp; ADVANCE RADAR DETECTION</v>
          </cell>
          <cell r="G7675">
            <v>0</v>
          </cell>
        </row>
        <row r="7676">
          <cell r="A7676" t="str">
            <v>809E99000</v>
          </cell>
          <cell r="B7676" t="str">
            <v>Y</v>
          </cell>
          <cell r="C7676" t="str">
            <v>LS</v>
          </cell>
          <cell r="D7676" t="str">
            <v>SPECIAL - ITS</v>
          </cell>
          <cell r="G7676">
            <v>1</v>
          </cell>
        </row>
        <row r="7677">
          <cell r="A7677" t="str">
            <v>810E00100</v>
          </cell>
          <cell r="C7677" t="str">
            <v>EACH</v>
          </cell>
          <cell r="D7677" t="str">
            <v>VITAL INDUCTIVE LOOP PROCESSOR</v>
          </cell>
          <cell r="G7677">
            <v>0</v>
          </cell>
        </row>
        <row r="7678">
          <cell r="A7678" t="str">
            <v>812E20000</v>
          </cell>
          <cell r="C7678" t="str">
            <v>TON</v>
          </cell>
          <cell r="D7678" t="str">
            <v>PORTLAND CEMENT</v>
          </cell>
          <cell r="G7678">
            <v>0</v>
          </cell>
        </row>
        <row r="7679">
          <cell r="A7679" t="str">
            <v>815E30000</v>
          </cell>
          <cell r="C7679" t="str">
            <v>EACH</v>
          </cell>
          <cell r="D7679" t="str">
            <v>SPREAD SPECTRUM RADIO</v>
          </cell>
          <cell r="G7679">
            <v>0</v>
          </cell>
        </row>
        <row r="7680">
          <cell r="A7680" t="str">
            <v>815E30001</v>
          </cell>
          <cell r="C7680" t="str">
            <v>EACH</v>
          </cell>
          <cell r="D7680" t="str">
            <v>SPREAD SPECTRUM RADIO, AS PER PLAN</v>
          </cell>
          <cell r="G7680">
            <v>0</v>
          </cell>
        </row>
        <row r="7681">
          <cell r="A7681" t="str">
            <v>815E30100</v>
          </cell>
          <cell r="C7681" t="str">
            <v>LS</v>
          </cell>
          <cell r="D7681" t="str">
            <v>TRAINING FOR SPREAD SPECTRUM RADIO</v>
          </cell>
          <cell r="G7681">
            <v>0</v>
          </cell>
        </row>
        <row r="7682">
          <cell r="A7682" t="str">
            <v>816E30000</v>
          </cell>
          <cell r="C7682" t="str">
            <v>EACH</v>
          </cell>
          <cell r="D7682" t="str">
            <v>VIDEO DETECTION SYSTEM</v>
          </cell>
          <cell r="G7682">
            <v>0</v>
          </cell>
        </row>
        <row r="7683">
          <cell r="A7683" t="str">
            <v>816E30001</v>
          </cell>
          <cell r="C7683" t="str">
            <v>EACH</v>
          </cell>
          <cell r="D7683" t="str">
            <v>VIDEO DETECTION SYSTEM, AS PER PLAN</v>
          </cell>
          <cell r="G7683">
            <v>0</v>
          </cell>
        </row>
        <row r="7684">
          <cell r="A7684" t="str">
            <v>816E30100</v>
          </cell>
          <cell r="C7684" t="str">
            <v>LS</v>
          </cell>
          <cell r="D7684" t="str">
            <v>TRAINING FOR VIDEO DETECTION SYSTEM</v>
          </cell>
          <cell r="G7684">
            <v>0</v>
          </cell>
        </row>
        <row r="7685">
          <cell r="A7685" t="str">
            <v>818E30000</v>
          </cell>
          <cell r="C7685" t="str">
            <v>EACH</v>
          </cell>
          <cell r="D7685" t="str">
            <v>PROGRAMMABLE LOGIC CONTROLLER (PLC), (BASIC OR ADVANCED)</v>
          </cell>
          <cell r="G7685">
            <v>0</v>
          </cell>
        </row>
        <row r="7686">
          <cell r="A7686" t="str">
            <v>819E10000</v>
          </cell>
          <cell r="C7686" t="str">
            <v>EACH</v>
          </cell>
          <cell r="D7686" t="str">
            <v>RAILROAD PREEMPTION INTERFACE</v>
          </cell>
          <cell r="F7686" t="str">
            <v>LOCATION REQUIRED</v>
          </cell>
          <cell r="G7686">
            <v>1</v>
          </cell>
        </row>
        <row r="7687">
          <cell r="A7687" t="str">
            <v>819E10001</v>
          </cell>
          <cell r="C7687" t="str">
            <v>EACH</v>
          </cell>
          <cell r="D7687" t="str">
            <v>RAILROAD PREEMPTION INTERFACE, AS PER PLAN</v>
          </cell>
          <cell r="F7687" t="str">
            <v>LOCATION REQUIRED</v>
          </cell>
          <cell r="G7687">
            <v>1</v>
          </cell>
        </row>
        <row r="7688">
          <cell r="A7688" t="str">
            <v>822E10000</v>
          </cell>
          <cell r="C7688" t="str">
            <v>SY</v>
          </cell>
          <cell r="D7688" t="str">
            <v>HOT IN-PLACE RECYCLING, INTERMEDIATE COURSE</v>
          </cell>
          <cell r="G7688">
            <v>0</v>
          </cell>
        </row>
        <row r="7689">
          <cell r="A7689" t="str">
            <v>823E10000</v>
          </cell>
          <cell r="C7689" t="str">
            <v>CY</v>
          </cell>
          <cell r="D7689" t="str">
            <v>ASPHALT CONCRETE SURFACE COURSE, TYPE 1, (448)</v>
          </cell>
          <cell r="G7689">
            <v>0</v>
          </cell>
        </row>
        <row r="7690">
          <cell r="A7690" t="str">
            <v>823E15000</v>
          </cell>
          <cell r="C7690" t="str">
            <v>CY</v>
          </cell>
          <cell r="D7690" t="str">
            <v>ASPHALT CONCRETE INTERMEDIATE COURSE, TYPE 1, (448)</v>
          </cell>
          <cell r="G7690">
            <v>0</v>
          </cell>
        </row>
        <row r="7691">
          <cell r="A7691" t="str">
            <v>823E20000</v>
          </cell>
          <cell r="C7691" t="str">
            <v>CY</v>
          </cell>
          <cell r="D7691" t="str">
            <v>ASPHALT CONCRETE INTERMEDIATE COURSE, TYPE 2, (448)</v>
          </cell>
          <cell r="G7691">
            <v>0</v>
          </cell>
        </row>
        <row r="7692">
          <cell r="A7692" t="str">
            <v>826E10000</v>
          </cell>
          <cell r="C7692" t="str">
            <v>CY</v>
          </cell>
          <cell r="D7692" t="str">
            <v>ASPHALT CONCRETE SURFACE COURSE, TYPE 1, (448), FIBER TYPE A</v>
          </cell>
          <cell r="G7692">
            <v>0</v>
          </cell>
        </row>
        <row r="7693">
          <cell r="A7693" t="str">
            <v>826E10001</v>
          </cell>
          <cell r="C7693" t="str">
            <v>CY</v>
          </cell>
          <cell r="D7693" t="str">
            <v>ASPHALT CONCRETE SURFACE COURSE, TYPE 1, (448), FIBER TYPE A, AS PER PLAN</v>
          </cell>
          <cell r="G7693">
            <v>0</v>
          </cell>
        </row>
        <row r="7694">
          <cell r="A7694" t="str">
            <v>826E10020</v>
          </cell>
          <cell r="C7694" t="str">
            <v>CY</v>
          </cell>
          <cell r="D7694" t="str">
            <v>ASPHALT CONCRETE SURFACE COURSE, TYPE 1, (448), FIBER TYPE B</v>
          </cell>
          <cell r="G7694">
            <v>0</v>
          </cell>
        </row>
        <row r="7695">
          <cell r="A7695" t="str">
            <v>826E10021</v>
          </cell>
          <cell r="C7695" t="str">
            <v>CY</v>
          </cell>
          <cell r="D7695" t="str">
            <v>ASPHALT CONCRETE SURFACE COURSE, TYPE 1, (448), FIBER TYPE B, AS PER PLAN</v>
          </cell>
          <cell r="G7695">
            <v>0</v>
          </cell>
        </row>
        <row r="7696">
          <cell r="A7696" t="str">
            <v>826E10040</v>
          </cell>
          <cell r="C7696" t="str">
            <v>CY</v>
          </cell>
          <cell r="D7696" t="str">
            <v>ASPHALT CONCRETE SURFACE COURSE, TYPE 1, (448), FIBER TYPE C</v>
          </cell>
          <cell r="G7696">
            <v>0</v>
          </cell>
        </row>
        <row r="7697">
          <cell r="A7697" t="str">
            <v>826E10300</v>
          </cell>
          <cell r="C7697" t="str">
            <v>CY</v>
          </cell>
          <cell r="D7697" t="str">
            <v>ASPHALT CONCRETE INTERMEDIATE COURSE, TYPE 2, (448), FIBER TYPE A</v>
          </cell>
          <cell r="G7697">
            <v>0</v>
          </cell>
        </row>
        <row r="7698">
          <cell r="A7698" t="str">
            <v>826E10301</v>
          </cell>
          <cell r="C7698" t="str">
            <v>CY</v>
          </cell>
          <cell r="D7698" t="str">
            <v>ASPHALT CONCRETE INTERMEDIATE COURSE, TYPE 2, (448), FIBER TYPE A, AS PER PLAN</v>
          </cell>
          <cell r="G7698">
            <v>0</v>
          </cell>
        </row>
        <row r="7699">
          <cell r="A7699" t="str">
            <v>826E10400</v>
          </cell>
          <cell r="C7699" t="str">
            <v>CY</v>
          </cell>
          <cell r="D7699" t="str">
            <v>ASPHALT CONCRETE INTERMEDIATE COURSE, TYPE 2, (448), FIBER TYPE B</v>
          </cell>
          <cell r="G7699">
            <v>0</v>
          </cell>
        </row>
        <row r="7700">
          <cell r="A7700" t="str">
            <v>826E10500</v>
          </cell>
          <cell r="C7700" t="str">
            <v>CY</v>
          </cell>
          <cell r="D7700" t="str">
            <v>ASPHALT CONCRETE INTERMEDIATE COURSE, TYPE 2, (448), FIBER TYPE C</v>
          </cell>
          <cell r="G7700">
            <v>0</v>
          </cell>
        </row>
        <row r="7701">
          <cell r="A7701" t="str">
            <v>826E10600</v>
          </cell>
          <cell r="C7701" t="str">
            <v>CY</v>
          </cell>
          <cell r="D7701" t="str">
            <v>ASPHALT CONCRETE SURFACE COURSE, 442 12.5MM, (448), FIBER TYPE A</v>
          </cell>
          <cell r="G7701">
            <v>0</v>
          </cell>
        </row>
        <row r="7702">
          <cell r="A7702" t="str">
            <v>826E10620</v>
          </cell>
          <cell r="C7702" t="str">
            <v>CY</v>
          </cell>
          <cell r="D7702" t="str">
            <v>ASPHALT CONCRETE SURFACE COURSE, 442 12.5MM, (448), FIBER TYPE B</v>
          </cell>
          <cell r="G7702">
            <v>0</v>
          </cell>
        </row>
        <row r="7703">
          <cell r="A7703" t="str">
            <v>826E10640</v>
          </cell>
          <cell r="C7703" t="str">
            <v>CY</v>
          </cell>
          <cell r="D7703" t="str">
            <v>ASPHALT CONCRETE SURFACE COURSE, 442 12.5MM, (448), FIBER TYPE C</v>
          </cell>
          <cell r="G7703">
            <v>0</v>
          </cell>
        </row>
        <row r="7704">
          <cell r="A7704" t="str">
            <v>826E10700</v>
          </cell>
          <cell r="C7704" t="str">
            <v>CY</v>
          </cell>
          <cell r="D7704" t="str">
            <v>ASPHALT CONCRETE INTERMEDIATE COURSE, 442 19MM, (448), FIBER TYPE A</v>
          </cell>
          <cell r="G7704">
            <v>0</v>
          </cell>
        </row>
        <row r="7705">
          <cell r="A7705" t="str">
            <v>826E10720</v>
          </cell>
          <cell r="C7705" t="str">
            <v>CY</v>
          </cell>
          <cell r="D7705" t="str">
            <v>ASPHALT CONCRETE INTERMEDIATE COURSE, 442 19MM, (448), FIBER TYPE B</v>
          </cell>
          <cell r="G7705">
            <v>0</v>
          </cell>
        </row>
        <row r="7706">
          <cell r="A7706" t="str">
            <v>826E10740</v>
          </cell>
          <cell r="C7706" t="str">
            <v>CY</v>
          </cell>
          <cell r="D7706" t="str">
            <v>ASPHALT CONCRETE INTERMEDIATE COURSE, 442 19MM, (448), FIBER TYPE C</v>
          </cell>
          <cell r="G7706">
            <v>0</v>
          </cell>
        </row>
        <row r="7707">
          <cell r="A7707" t="str">
            <v>826E20000</v>
          </cell>
          <cell r="C7707" t="str">
            <v>CY</v>
          </cell>
          <cell r="D7707" t="str">
            <v>ASPHALT CONCRETE, MISC.:</v>
          </cell>
          <cell r="G7707">
            <v>1</v>
          </cell>
        </row>
        <row r="7708">
          <cell r="A7708" t="str">
            <v>832E15000</v>
          </cell>
          <cell r="C7708" t="str">
            <v>LS</v>
          </cell>
          <cell r="D7708" t="str">
            <v>STORM WATER POLLUTION PREVENTION PLAN</v>
          </cell>
          <cell r="G7708">
            <v>0</v>
          </cell>
        </row>
        <row r="7709">
          <cell r="A7709" t="str">
            <v>832E15001</v>
          </cell>
          <cell r="C7709" t="str">
            <v>LS</v>
          </cell>
          <cell r="D7709" t="str">
            <v>STORM WATER POLLUTION PREVENTION PLAN, AS PER PLAN</v>
          </cell>
          <cell r="G7709">
            <v>0</v>
          </cell>
        </row>
        <row r="7710">
          <cell r="A7710" t="str">
            <v>832E30000</v>
          </cell>
          <cell r="C7710" t="str">
            <v>EACH</v>
          </cell>
          <cell r="D7710" t="str">
            <v>EROSION CONTROL</v>
          </cell>
          <cell r="G7710">
            <v>0</v>
          </cell>
        </row>
        <row r="7711">
          <cell r="A7711" t="str">
            <v>832E30001</v>
          </cell>
          <cell r="C7711" t="str">
            <v>EACH</v>
          </cell>
          <cell r="D7711" t="str">
            <v>EROSION CONTROL, AS PER PLAN</v>
          </cell>
          <cell r="G7711">
            <v>0</v>
          </cell>
        </row>
        <row r="7712">
          <cell r="A7712" t="str">
            <v>832E99100</v>
          </cell>
          <cell r="B7712" t="str">
            <v>Y</v>
          </cell>
          <cell r="C7712" t="str">
            <v>EACH</v>
          </cell>
          <cell r="D7712" t="str">
            <v>SPECIAL - CONSTRUCTION EROSION CONTROL</v>
          </cell>
          <cell r="F7712" t="str">
            <v>DESIGN BUILD PROJECTS ONLY</v>
          </cell>
          <cell r="G7712">
            <v>0</v>
          </cell>
        </row>
        <row r="7713">
          <cell r="A7713" t="str">
            <v>833E10000</v>
          </cell>
          <cell r="C7713" t="str">
            <v>FT</v>
          </cell>
          <cell r="D7713" t="str">
            <v>CONDUIT RENEWAL USING SPRAY APPLIED STRUCTURAL LINER, ROUND CONDUIT</v>
          </cell>
          <cell r="F7713" t="str">
            <v>SPECIFY SIZE (___" DIAMETER)</v>
          </cell>
          <cell r="G7713">
            <v>1</v>
          </cell>
        </row>
        <row r="7714">
          <cell r="A7714" t="str">
            <v>833E10001</v>
          </cell>
          <cell r="C7714" t="str">
            <v>FT</v>
          </cell>
          <cell r="D7714" t="str">
            <v>CONDUIT RENEWAL USING SPRAY APPLIED STRUCTURAL LINER, ROUND CONDUIT, AS PER PLAN</v>
          </cell>
          <cell r="G7714">
            <v>1</v>
          </cell>
        </row>
        <row r="7715">
          <cell r="A7715" t="str">
            <v>833E11000</v>
          </cell>
          <cell r="C7715" t="str">
            <v>FT</v>
          </cell>
          <cell r="D7715" t="str">
            <v>CONDUIT RENEWAL USING SPRAY APPLIED STRUCTURAL LINER, ELLIPTICAL CONDUIT</v>
          </cell>
          <cell r="F7715" t="str">
            <v>SPECIFY SIZE (RISE X SPAN)</v>
          </cell>
          <cell r="G7715">
            <v>1</v>
          </cell>
        </row>
        <row r="7716">
          <cell r="A7716" t="str">
            <v>833E12000</v>
          </cell>
          <cell r="C7716" t="str">
            <v>FT</v>
          </cell>
          <cell r="D7716" t="str">
            <v>CONDUIT RENEWAL USING SPRAY APPLIED STRUCTURAL LINER, ARCH</v>
          </cell>
          <cell r="F7716" t="str">
            <v>(SPECIFY SIZE Span x Rise)</v>
          </cell>
          <cell r="G7716">
            <v>1</v>
          </cell>
        </row>
        <row r="7717">
          <cell r="A7717" t="str">
            <v>834E10000</v>
          </cell>
          <cell r="C7717" t="str">
            <v>FT</v>
          </cell>
          <cell r="D7717" t="str">
            <v>CONDUIT RENEWAL USING RESIN BASED LINER</v>
          </cell>
          <cell r="F7717" t="str">
            <v>SPECIFY SIZE (___" DIAMETER)</v>
          </cell>
          <cell r="G7717">
            <v>1</v>
          </cell>
        </row>
        <row r="7718">
          <cell r="A7718" t="str">
            <v>834E10001</v>
          </cell>
          <cell r="C7718" t="str">
            <v>FT</v>
          </cell>
          <cell r="D7718" t="str">
            <v>CONDUIT RENEWAL USING RESIN BASED LINER, AS PER PLAN</v>
          </cell>
          <cell r="F7718" t="str">
            <v>SPECIFY SIZE (___" DIAMETER)</v>
          </cell>
          <cell r="G7718">
            <v>1</v>
          </cell>
        </row>
        <row r="7719">
          <cell r="A7719" t="str">
            <v>834E11000</v>
          </cell>
          <cell r="C7719" t="str">
            <v>SF</v>
          </cell>
          <cell r="D7719" t="str">
            <v>CONDUIT RENEWAL USING RESIN BASED LINER</v>
          </cell>
          <cell r="G7719">
            <v>0</v>
          </cell>
        </row>
        <row r="7720">
          <cell r="A7720" t="str">
            <v>834E11001</v>
          </cell>
          <cell r="C7720" t="str">
            <v>SF</v>
          </cell>
          <cell r="D7720" t="str">
            <v>CONDUIT RENEWAL USING RESIN BASED LINER, AS PER PLAN</v>
          </cell>
          <cell r="G7720">
            <v>0</v>
          </cell>
        </row>
        <row r="7721">
          <cell r="A7721" t="str">
            <v>835E10000</v>
          </cell>
          <cell r="C7721" t="str">
            <v>FT</v>
          </cell>
          <cell r="D7721" t="str">
            <v>EXFILTRATION TRENCH, TYPE A</v>
          </cell>
          <cell r="G7721">
            <v>0</v>
          </cell>
        </row>
        <row r="7722">
          <cell r="A7722" t="str">
            <v>835E10001</v>
          </cell>
          <cell r="C7722" t="str">
            <v>FT</v>
          </cell>
          <cell r="D7722" t="str">
            <v>EXFILTRATION TRENCH, TYPE A, AS PER PLAN</v>
          </cell>
          <cell r="G7722">
            <v>0</v>
          </cell>
        </row>
        <row r="7723">
          <cell r="A7723" t="str">
            <v>835E10010</v>
          </cell>
          <cell r="C7723" t="str">
            <v>FT</v>
          </cell>
          <cell r="D7723" t="str">
            <v>EXFILTRATION TRENCH, TYPE B</v>
          </cell>
          <cell r="G7723">
            <v>0</v>
          </cell>
        </row>
        <row r="7724">
          <cell r="A7724" t="str">
            <v>835E10020</v>
          </cell>
          <cell r="C7724" t="str">
            <v>FT</v>
          </cell>
          <cell r="D7724" t="str">
            <v>EXFILTRATION TRENCH, TYPE C</v>
          </cell>
          <cell r="G7724">
            <v>0</v>
          </cell>
        </row>
        <row r="7725">
          <cell r="A7725" t="str">
            <v>835E10021</v>
          </cell>
          <cell r="C7725" t="str">
            <v>FT</v>
          </cell>
          <cell r="D7725" t="str">
            <v>EXFILTRATION TRENCH, TYPE C, AS PER PLAN</v>
          </cell>
          <cell r="G7725">
            <v>0</v>
          </cell>
        </row>
        <row r="7726">
          <cell r="A7726" t="str">
            <v>836E10000</v>
          </cell>
          <cell r="C7726" t="str">
            <v>SY</v>
          </cell>
          <cell r="D7726" t="str">
            <v>SEEDING AND EROSION CONTROL WITH TURF REINFORCING MAT, TYPE 1</v>
          </cell>
          <cell r="G7726">
            <v>0</v>
          </cell>
        </row>
        <row r="7727">
          <cell r="A7727" t="str">
            <v>836E10020</v>
          </cell>
          <cell r="C7727" t="str">
            <v>SY</v>
          </cell>
          <cell r="D7727" t="str">
            <v>SEEDING AND EROSION CONTROL WITH TURF REINFORCING MAT, TYPE 2</v>
          </cell>
          <cell r="G7727">
            <v>0</v>
          </cell>
        </row>
        <row r="7728">
          <cell r="A7728" t="str">
            <v>836E10030</v>
          </cell>
          <cell r="C7728" t="str">
            <v>SY</v>
          </cell>
          <cell r="D7728" t="str">
            <v>SEEDING AND EROSION CONTROL WITH TURF REINFORCING MAT, TYPE 3</v>
          </cell>
          <cell r="G7728">
            <v>0</v>
          </cell>
        </row>
        <row r="7729">
          <cell r="A7729" t="str">
            <v>836E20000</v>
          </cell>
          <cell r="C7729" t="str">
            <v>SY</v>
          </cell>
          <cell r="D7729" t="str">
            <v>SEEDING AND EROSION CONTROL WITH TURF REINFORCING MAT, TYPE 1, WITHOUT SOIL FILLING</v>
          </cell>
          <cell r="G7729">
            <v>0</v>
          </cell>
        </row>
        <row r="7730">
          <cell r="A7730" t="str">
            <v>836E20020</v>
          </cell>
          <cell r="C7730" t="str">
            <v>SY</v>
          </cell>
          <cell r="D7730" t="str">
            <v>SEEDING AND EROSION CONTROL WITH TURF REINFORCING MAT, TYPE 2, WITHOUT SOIL FILLING</v>
          </cell>
          <cell r="G7730">
            <v>0</v>
          </cell>
        </row>
        <row r="7731">
          <cell r="A7731" t="str">
            <v>836E20030</v>
          </cell>
          <cell r="C7731" t="str">
            <v>SY</v>
          </cell>
          <cell r="D7731" t="str">
            <v>SEEDING AND EROSION CONTROL WITH TURF REINFORCING MAT, TYPE 3, WITHOUT SOIL FILING</v>
          </cell>
          <cell r="G7731">
            <v>0</v>
          </cell>
        </row>
        <row r="7732">
          <cell r="A7732" t="str">
            <v>837E10000</v>
          </cell>
          <cell r="C7732" t="str">
            <v>FT</v>
          </cell>
          <cell r="D7732" t="str">
            <v>LINER PIPE</v>
          </cell>
          <cell r="F7732" t="str">
            <v>SPECIFY SIZE AND TYPE</v>
          </cell>
          <cell r="G7732">
            <v>1</v>
          </cell>
        </row>
        <row r="7733">
          <cell r="A7733" t="str">
            <v>837E10001</v>
          </cell>
          <cell r="C7733" t="str">
            <v>FT</v>
          </cell>
          <cell r="D7733" t="str">
            <v>LINER PIPE, AS PER PLAN</v>
          </cell>
          <cell r="G7733">
            <v>0</v>
          </cell>
        </row>
        <row r="7734">
          <cell r="A7734" t="str">
            <v>837E20000</v>
          </cell>
          <cell r="C7734" t="str">
            <v>CY</v>
          </cell>
          <cell r="D7734" t="str">
            <v>BACKFILL FOR LINER PIPE</v>
          </cell>
          <cell r="G7734">
            <v>0</v>
          </cell>
        </row>
        <row r="7735">
          <cell r="A7735" t="str">
            <v>837E20001</v>
          </cell>
          <cell r="C7735" t="str">
            <v>CY</v>
          </cell>
          <cell r="D7735" t="str">
            <v>BACKFILL FOR LINER PIPE, AS PER PLAN</v>
          </cell>
          <cell r="G7735">
            <v>0</v>
          </cell>
        </row>
        <row r="7736">
          <cell r="A7736" t="str">
            <v>838E20700</v>
          </cell>
          <cell r="C7736" t="str">
            <v>CY</v>
          </cell>
          <cell r="D7736" t="str">
            <v>GABIONS</v>
          </cell>
          <cell r="G7736">
            <v>0</v>
          </cell>
        </row>
        <row r="7737">
          <cell r="A7737" t="str">
            <v>838E20701</v>
          </cell>
          <cell r="C7737" t="str">
            <v>CY</v>
          </cell>
          <cell r="D7737" t="str">
            <v>GABIONS, AS PER PLAN</v>
          </cell>
          <cell r="G7737">
            <v>0</v>
          </cell>
        </row>
        <row r="7738">
          <cell r="A7738" t="str">
            <v>838E20750</v>
          </cell>
          <cell r="C7738" t="str">
            <v>CY</v>
          </cell>
          <cell r="D7738" t="str">
            <v>GABIONS WITH ADDITIONAL COATING</v>
          </cell>
          <cell r="G7738">
            <v>0</v>
          </cell>
        </row>
        <row r="7739">
          <cell r="A7739" t="str">
            <v>838E20751</v>
          </cell>
          <cell r="C7739" t="str">
            <v>CY</v>
          </cell>
          <cell r="D7739" t="str">
            <v>GABIONS WITH ADDITIONAL COATING, AS PER PLAN</v>
          </cell>
          <cell r="G7739">
            <v>0</v>
          </cell>
        </row>
        <row r="7740">
          <cell r="A7740" t="str">
            <v>839E30000</v>
          </cell>
          <cell r="C7740" t="str">
            <v>FT</v>
          </cell>
          <cell r="D7740" t="str">
            <v>TRENCH DRAIN WITH STANDARD GRATE</v>
          </cell>
          <cell r="G7740">
            <v>0</v>
          </cell>
        </row>
        <row r="7741">
          <cell r="A7741" t="str">
            <v>839E30100</v>
          </cell>
          <cell r="C7741" t="str">
            <v>FT</v>
          </cell>
          <cell r="D7741" t="str">
            <v>TRENCH DRAIN WITH PEDESTRIAN GRATE</v>
          </cell>
          <cell r="G7741">
            <v>0</v>
          </cell>
        </row>
        <row r="7742">
          <cell r="A7742" t="str">
            <v>840E20000</v>
          </cell>
          <cell r="C7742" t="str">
            <v>SF</v>
          </cell>
          <cell r="D7742" t="str">
            <v>MECHANICALLY STABILIZED EARTH WALL</v>
          </cell>
          <cell r="G7742">
            <v>0</v>
          </cell>
        </row>
        <row r="7743">
          <cell r="A7743" t="str">
            <v>840E20001</v>
          </cell>
          <cell r="C7743" t="str">
            <v>SF</v>
          </cell>
          <cell r="D7743" t="str">
            <v>MECHANICALLY STABILIZED EARTH WALL, AS PER PLAN</v>
          </cell>
          <cell r="G7743">
            <v>0</v>
          </cell>
        </row>
        <row r="7744">
          <cell r="A7744" t="str">
            <v>840E21000</v>
          </cell>
          <cell r="C7744" t="str">
            <v>CY</v>
          </cell>
          <cell r="D7744" t="str">
            <v>WALL EXCAVATION</v>
          </cell>
          <cell r="G7744">
            <v>0</v>
          </cell>
        </row>
        <row r="7745">
          <cell r="A7745" t="str">
            <v>840E21001</v>
          </cell>
          <cell r="C7745" t="str">
            <v>CY</v>
          </cell>
          <cell r="D7745" t="str">
            <v>WALL EXCAVATION, AS PER PLAN</v>
          </cell>
          <cell r="G7745">
            <v>0</v>
          </cell>
        </row>
        <row r="7746">
          <cell r="A7746" t="str">
            <v>840E22000</v>
          </cell>
          <cell r="C7746" t="str">
            <v>SY</v>
          </cell>
          <cell r="D7746" t="str">
            <v>FOUNDATION PREPARATION</v>
          </cell>
          <cell r="G7746">
            <v>0</v>
          </cell>
        </row>
        <row r="7747">
          <cell r="A7747" t="str">
            <v>840E22001</v>
          </cell>
          <cell r="C7747" t="str">
            <v>SY</v>
          </cell>
          <cell r="D7747" t="str">
            <v>FOUNDATION PREPARATION, AS PER PLAN</v>
          </cell>
          <cell r="G7747">
            <v>0</v>
          </cell>
        </row>
        <row r="7748">
          <cell r="A7748" t="str">
            <v>840E23000</v>
          </cell>
          <cell r="C7748" t="str">
            <v>CY</v>
          </cell>
          <cell r="D7748" t="str">
            <v>SELECT GRANULAR BACKFILL</v>
          </cell>
          <cell r="G7748">
            <v>0</v>
          </cell>
        </row>
        <row r="7749">
          <cell r="A7749" t="str">
            <v>840E23001</v>
          </cell>
          <cell r="C7749" t="str">
            <v>CY</v>
          </cell>
          <cell r="D7749" t="str">
            <v>SELECT GRANULAR BACKFILL, AS PER PLAN</v>
          </cell>
          <cell r="G7749">
            <v>0</v>
          </cell>
        </row>
        <row r="7750">
          <cell r="A7750" t="str">
            <v>840E23050</v>
          </cell>
          <cell r="C7750" t="str">
            <v>CY</v>
          </cell>
          <cell r="D7750" t="str">
            <v>NATURAL SOIL</v>
          </cell>
          <cell r="G7750">
            <v>0</v>
          </cell>
        </row>
        <row r="7751">
          <cell r="A7751" t="str">
            <v>840E24000</v>
          </cell>
          <cell r="C7751" t="str">
            <v>CY</v>
          </cell>
          <cell r="D7751" t="str">
            <v>POROUS BACKFILL WITH FILTER FABRIC</v>
          </cell>
          <cell r="G7751">
            <v>0</v>
          </cell>
        </row>
        <row r="7752">
          <cell r="A7752" t="str">
            <v>840E25000</v>
          </cell>
          <cell r="C7752" t="str">
            <v>FT</v>
          </cell>
          <cell r="D7752" t="str">
            <v>DRAINAGE PIPE</v>
          </cell>
          <cell r="G7752">
            <v>0</v>
          </cell>
        </row>
        <row r="7753">
          <cell r="A7753" t="str">
            <v>840E25010</v>
          </cell>
          <cell r="C7753" t="str">
            <v>FT</v>
          </cell>
          <cell r="D7753" t="str">
            <v>6" DRAINAGE PIPE, PERFORATED</v>
          </cell>
          <cell r="G7753">
            <v>0</v>
          </cell>
        </row>
        <row r="7754">
          <cell r="A7754" t="str">
            <v>840E25020</v>
          </cell>
          <cell r="C7754" t="str">
            <v>FT</v>
          </cell>
          <cell r="D7754" t="str">
            <v>6" DRAINAGE PIPE, NON-PERFORATED</v>
          </cell>
          <cell r="G7754">
            <v>0</v>
          </cell>
        </row>
        <row r="7755">
          <cell r="A7755" t="str">
            <v>840E26000</v>
          </cell>
          <cell r="C7755" t="str">
            <v>FT</v>
          </cell>
          <cell r="D7755" t="str">
            <v>CONCRETE COPING</v>
          </cell>
          <cell r="G7755">
            <v>0</v>
          </cell>
        </row>
        <row r="7756">
          <cell r="A7756" t="str">
            <v>840E26001</v>
          </cell>
          <cell r="C7756" t="str">
            <v>FT</v>
          </cell>
          <cell r="D7756" t="str">
            <v>CONCRETE COPING, AS PER PLAN</v>
          </cell>
          <cell r="G7756">
            <v>0</v>
          </cell>
        </row>
        <row r="7757">
          <cell r="A7757" t="str">
            <v>840E26050</v>
          </cell>
          <cell r="C7757" t="str">
            <v>SF</v>
          </cell>
          <cell r="D7757" t="str">
            <v>AESTHETIC SURFACE TREATMENT</v>
          </cell>
          <cell r="G7757">
            <v>0</v>
          </cell>
        </row>
        <row r="7758">
          <cell r="A7758" t="str">
            <v>840E27000</v>
          </cell>
          <cell r="C7758" t="str">
            <v>DAY</v>
          </cell>
          <cell r="D7758" t="str">
            <v>ON-SITE ASSISTANCE</v>
          </cell>
          <cell r="G7758">
            <v>0</v>
          </cell>
        </row>
        <row r="7759">
          <cell r="A7759" t="str">
            <v>840E28000</v>
          </cell>
          <cell r="C7759" t="str">
            <v>LS</v>
          </cell>
          <cell r="D7759" t="str">
            <v>SGB INSPECTION AND COMPACTION TESTING</v>
          </cell>
          <cell r="G7759">
            <v>0</v>
          </cell>
        </row>
        <row r="7760">
          <cell r="A7760" t="str">
            <v>841E10000</v>
          </cell>
          <cell r="C7760" t="str">
            <v>FT</v>
          </cell>
          <cell r="D7760" t="str">
            <v>SPIRAL WOUND RENEWAL SYSTEM, ROUND CONDUIT</v>
          </cell>
          <cell r="F7760" t="str">
            <v>SPECIFY SIZE</v>
          </cell>
          <cell r="G7760">
            <v>1</v>
          </cell>
        </row>
        <row r="7761">
          <cell r="A7761" t="str">
            <v>841E10001</v>
          </cell>
          <cell r="C7761" t="str">
            <v>FT</v>
          </cell>
          <cell r="D7761" t="str">
            <v>SPIRAL WOUND RENEWAL SYSTEM, ROUND CONDUIT, AS PER PLAN</v>
          </cell>
          <cell r="F7761" t="str">
            <v>SPECIFY SIZE</v>
          </cell>
          <cell r="G7761">
            <v>1</v>
          </cell>
        </row>
        <row r="7762">
          <cell r="A7762" t="str">
            <v>841E11000</v>
          </cell>
          <cell r="C7762" t="str">
            <v>FT</v>
          </cell>
          <cell r="D7762" t="str">
            <v>SPIRAL WOUND RENEWAL SYSTEM, ELLIPTICAL CONDUIT</v>
          </cell>
          <cell r="F7762" t="str">
            <v>SPECIFY RISE X SPAN</v>
          </cell>
          <cell r="G7762">
            <v>1</v>
          </cell>
        </row>
        <row r="7763">
          <cell r="A7763" t="str">
            <v>841E11001</v>
          </cell>
          <cell r="C7763" t="str">
            <v>FT</v>
          </cell>
          <cell r="D7763" t="str">
            <v>SPIRAL WOUND RENEWAL SYSTEM, ELLIPTICAL CONDUIT, AS PER PLAN</v>
          </cell>
          <cell r="F7763" t="str">
            <v>SPECIFY RISE X SPAN</v>
          </cell>
          <cell r="G7763">
            <v>1</v>
          </cell>
        </row>
        <row r="7764">
          <cell r="A7764" t="str">
            <v>841E12000</v>
          </cell>
          <cell r="C7764" t="str">
            <v>FT</v>
          </cell>
          <cell r="D7764" t="str">
            <v>SPIRAL WOUND RENEWAL SYSTEM, BOX</v>
          </cell>
          <cell r="F7764" t="str">
            <v>SPECIFY RISE X SPAN</v>
          </cell>
          <cell r="G7764">
            <v>1</v>
          </cell>
        </row>
        <row r="7765">
          <cell r="A7765" t="str">
            <v>841E12001</v>
          </cell>
          <cell r="C7765" t="str">
            <v>FT</v>
          </cell>
          <cell r="D7765" t="str">
            <v>SPIRAL WOUND RENEWAL SYSTEM, BOX, AS PER PLAN</v>
          </cell>
          <cell r="F7765" t="str">
            <v>SPECIFY RISE X SPAN</v>
          </cell>
          <cell r="G7765">
            <v>1</v>
          </cell>
        </row>
        <row r="7766">
          <cell r="A7766" t="str">
            <v>841E13000</v>
          </cell>
          <cell r="C7766" t="str">
            <v>FT</v>
          </cell>
          <cell r="D7766" t="str">
            <v>SPIRAL WOUND RENEWAL SYSTEM, ARCH</v>
          </cell>
          <cell r="F7766" t="str">
            <v>SPECIFY SPAN X RISE OR SIZE</v>
          </cell>
          <cell r="G7766">
            <v>1</v>
          </cell>
        </row>
        <row r="7767">
          <cell r="A7767" t="str">
            <v>841E13001</v>
          </cell>
          <cell r="C7767" t="str">
            <v>FT</v>
          </cell>
          <cell r="D7767" t="str">
            <v>SPIRAL WOUND RENEWAL SYSTEM, ARCH, AS PER PLAN</v>
          </cell>
          <cell r="F7767" t="str">
            <v>SPECIFY SPAN X RISE OR SIZE</v>
          </cell>
          <cell r="G7767">
            <v>1</v>
          </cell>
        </row>
        <row r="7768">
          <cell r="A7768" t="str">
            <v>842E10000</v>
          </cell>
          <cell r="C7768" t="str">
            <v>LB</v>
          </cell>
          <cell r="D7768" t="str">
            <v>CORRECTING ELEVATION OF CONCRETE APPROACH SLABS WITH HIGH DENSITY POLYURETHANE</v>
          </cell>
          <cell r="G7768">
            <v>0</v>
          </cell>
        </row>
        <row r="7769">
          <cell r="A7769" t="str">
            <v>843E50000</v>
          </cell>
          <cell r="C7769" t="str">
            <v>SF</v>
          </cell>
          <cell r="D7769" t="str">
            <v>PATCHING CONCRETE STRUCTURES WITH TROWELABLE MORTAR</v>
          </cell>
          <cell r="G7769">
            <v>0</v>
          </cell>
        </row>
        <row r="7770">
          <cell r="A7770" t="str">
            <v>843E50001</v>
          </cell>
          <cell r="C7770" t="str">
            <v>SF</v>
          </cell>
          <cell r="D7770" t="str">
            <v>PATCHING CONCRETE STRUCTURES WITH TROWELABLE MORTAR, AS PER PLAN</v>
          </cell>
          <cell r="G7770">
            <v>0</v>
          </cell>
        </row>
        <row r="7771">
          <cell r="A7771" t="str">
            <v>844E10000</v>
          </cell>
          <cell r="C7771" t="str">
            <v>SF</v>
          </cell>
          <cell r="D7771" t="str">
            <v>CONCRETE PATCHING WITH GALVANIC ANODE PROTECTION</v>
          </cell>
          <cell r="G7771">
            <v>0</v>
          </cell>
        </row>
        <row r="7772">
          <cell r="A7772" t="str">
            <v>844E10001</v>
          </cell>
          <cell r="C7772" t="str">
            <v>SF</v>
          </cell>
          <cell r="D7772" t="str">
            <v>CONCRETE PATCHING WITH GALVANIC ANODE PROTECTION, AS PER PLAN</v>
          </cell>
          <cell r="G7772">
            <v>0</v>
          </cell>
        </row>
        <row r="7773">
          <cell r="A7773" t="str">
            <v>845E60000</v>
          </cell>
          <cell r="C7773" t="str">
            <v>SF</v>
          </cell>
          <cell r="D7773" t="str">
            <v>SURFACE PREPARATION OF EXISTING STRUCTURAL STEEL</v>
          </cell>
          <cell r="G7773">
            <v>0</v>
          </cell>
        </row>
        <row r="7774">
          <cell r="A7774" t="str">
            <v>845E61000</v>
          </cell>
          <cell r="C7774" t="str">
            <v>MNHR</v>
          </cell>
          <cell r="D7774" t="str">
            <v>GRINDING FINS, TEARS, SLIVERS ON EXISTING STRUCTURAL STEEL</v>
          </cell>
          <cell r="G7774">
            <v>0</v>
          </cell>
        </row>
        <row r="7775">
          <cell r="A7775" t="str">
            <v>845E62000</v>
          </cell>
          <cell r="C7775" t="str">
            <v>SF</v>
          </cell>
          <cell r="D7775" t="str">
            <v>FIELD METALLIZING OF EXISTING STRUCTURAL STEEL</v>
          </cell>
          <cell r="G7775">
            <v>0</v>
          </cell>
        </row>
        <row r="7776">
          <cell r="A7776" t="str">
            <v>845E98000</v>
          </cell>
          <cell r="C7776" t="str">
            <v>SF</v>
          </cell>
          <cell r="D7776" t="str">
            <v>FIELD METALLIZING, MISC.:</v>
          </cell>
          <cell r="G7776">
            <v>1</v>
          </cell>
        </row>
        <row r="7777">
          <cell r="A7777" t="str">
            <v>846E00100</v>
          </cell>
          <cell r="C7777" t="str">
            <v>FT</v>
          </cell>
          <cell r="D7777" t="str">
            <v>POLYMER MODIFIED ASPHALT EXPANSION JOINT SYSTEM</v>
          </cell>
          <cell r="G7777">
            <v>0</v>
          </cell>
        </row>
        <row r="7778">
          <cell r="A7778" t="str">
            <v>846E00110</v>
          </cell>
          <cell r="C7778" t="str">
            <v>CF</v>
          </cell>
          <cell r="D7778" t="str">
            <v>POLYMER MODIFIED ASPHALT EXPANSION JOINT SYSTEM</v>
          </cell>
          <cell r="G7778">
            <v>0</v>
          </cell>
        </row>
        <row r="7779">
          <cell r="A7779" t="str">
            <v>846E00111</v>
          </cell>
          <cell r="C7779" t="str">
            <v>CF</v>
          </cell>
          <cell r="D7779" t="str">
            <v>POLYMER MODIFIED ASPHALT EXPANSION JOINT SYSTEM, AS PER PLAN</v>
          </cell>
          <cell r="G7779">
            <v>0</v>
          </cell>
        </row>
        <row r="7780">
          <cell r="A7780" t="str">
            <v>846E00120</v>
          </cell>
          <cell r="C7780" t="str">
            <v>CY</v>
          </cell>
          <cell r="D7780" t="str">
            <v>POLYMER MODIFIED ASPHALT EXPANSION JOINT SYSTEM</v>
          </cell>
          <cell r="G7780">
            <v>0</v>
          </cell>
        </row>
        <row r="7781">
          <cell r="A7781" t="str">
            <v>847E10000</v>
          </cell>
          <cell r="C7781" t="str">
            <v>SY</v>
          </cell>
          <cell r="D7781" t="str">
            <v>MICRO SILICA MODIFIED CONCRETE OVERLAY</v>
          </cell>
          <cell r="F7781" t="str">
            <v>SPECIFY THICKNESS</v>
          </cell>
          <cell r="G7781">
            <v>1</v>
          </cell>
        </row>
        <row r="7782">
          <cell r="A7782" t="str">
            <v>847E10001</v>
          </cell>
          <cell r="C7782" t="str">
            <v>SY</v>
          </cell>
          <cell r="D7782" t="str">
            <v>MICRO SILICA MODIFIED CONCRETE OVERLAY, AS PER PLAN</v>
          </cell>
          <cell r="G7782">
            <v>0</v>
          </cell>
        </row>
        <row r="7783">
          <cell r="A7783" t="str">
            <v>847E10100</v>
          </cell>
          <cell r="C7783" t="str">
            <v>SY</v>
          </cell>
          <cell r="D7783" t="str">
            <v>LATEX MODIFIED CONCRETE OVERLAY</v>
          </cell>
          <cell r="F7783" t="str">
            <v>SPECIFY THICKNESS</v>
          </cell>
          <cell r="G7783">
            <v>1</v>
          </cell>
        </row>
        <row r="7784">
          <cell r="A7784" t="str">
            <v>847E10101</v>
          </cell>
          <cell r="C7784" t="str">
            <v>SY</v>
          </cell>
          <cell r="D7784" t="str">
            <v>LATEX MODIFIED CONCRETE OVERLAY, AS PER PLAN</v>
          </cell>
          <cell r="F7784" t="str">
            <v>SPECIFY THICKNESS</v>
          </cell>
          <cell r="G7784">
            <v>1</v>
          </cell>
        </row>
        <row r="7785">
          <cell r="A7785" t="str">
            <v>847E10200</v>
          </cell>
          <cell r="C7785" t="str">
            <v>SY</v>
          </cell>
          <cell r="D7785" t="str">
            <v>SUPERPLASTICIZED DENSE CONCRETE OVERLAY</v>
          </cell>
          <cell r="F7785" t="str">
            <v>SPECIFY THICKNESS</v>
          </cell>
          <cell r="G7785">
            <v>1</v>
          </cell>
        </row>
        <row r="7786">
          <cell r="A7786" t="str">
            <v>847E10201</v>
          </cell>
          <cell r="C7786" t="str">
            <v>SY</v>
          </cell>
          <cell r="D7786" t="str">
            <v>SUPERPLASTICIZED DENSE CONCRETE OVERLAY, AS PER PLAN</v>
          </cell>
          <cell r="F7786" t="str">
            <v>SPECIFY THICKNESS</v>
          </cell>
          <cell r="G7786">
            <v>1</v>
          </cell>
        </row>
        <row r="7787">
          <cell r="A7787" t="str">
            <v>847E20000</v>
          </cell>
          <cell r="C7787" t="str">
            <v>CY</v>
          </cell>
          <cell r="D7787" t="str">
            <v>MICRO SILICA MODIFIED CONCRETE OVERLAY (VARIABLE THICKNESS), MATERIAL ONLY</v>
          </cell>
          <cell r="G7787">
            <v>0</v>
          </cell>
        </row>
        <row r="7788">
          <cell r="A7788" t="str">
            <v>847E20001</v>
          </cell>
          <cell r="C7788" t="str">
            <v>CY</v>
          </cell>
          <cell r="D7788" t="str">
            <v>MICRO SILICA MODIFIED CONCRETE OVERLAY (VARIABLE THICKNESS), MATERIAL ONLY, AS PER PLAN</v>
          </cell>
          <cell r="G7788">
            <v>0</v>
          </cell>
        </row>
        <row r="7789">
          <cell r="A7789" t="str">
            <v>847E20100</v>
          </cell>
          <cell r="C7789" t="str">
            <v>CY</v>
          </cell>
          <cell r="D7789" t="str">
            <v>LATEX MODIFIED CONCRETE OVERLAY (VARIABLE THICKNESS), MATERIAL ONLY</v>
          </cell>
          <cell r="G7789">
            <v>0</v>
          </cell>
        </row>
        <row r="7790">
          <cell r="A7790" t="str">
            <v>847E20101</v>
          </cell>
          <cell r="C7790" t="str">
            <v>CY</v>
          </cell>
          <cell r="D7790" t="str">
            <v>LATEX MODIFIED CONCRETE OVERLAY (VARIABLE THICKNESS), MATERIAL ONLY, AS PER PLAN</v>
          </cell>
          <cell r="G7790">
            <v>0</v>
          </cell>
        </row>
        <row r="7791">
          <cell r="A7791" t="str">
            <v>847E20200</v>
          </cell>
          <cell r="C7791" t="str">
            <v>CY</v>
          </cell>
          <cell r="D7791" t="str">
            <v>SUPERPLASTICIZED DENSE CONCRETE OVERLAY (VARIABLE THICKNESS), MATERIAL ONLY</v>
          </cell>
          <cell r="G7791">
            <v>0</v>
          </cell>
        </row>
        <row r="7792">
          <cell r="A7792" t="str">
            <v>847E20201</v>
          </cell>
          <cell r="C7792" t="str">
            <v>CY</v>
          </cell>
          <cell r="D7792" t="str">
            <v>SUPERPLASTICIZED DENSE CONCRETE OVERLAY (VARIABLE THICKNESS), MATERIAL ONLY, AS PER PLAN</v>
          </cell>
          <cell r="G7792">
            <v>0</v>
          </cell>
        </row>
        <row r="7793">
          <cell r="A7793" t="str">
            <v>847E30000</v>
          </cell>
          <cell r="C7793" t="str">
            <v>LS</v>
          </cell>
          <cell r="D7793" t="str">
            <v>TEST SLAB</v>
          </cell>
          <cell r="G7793">
            <v>0</v>
          </cell>
        </row>
        <row r="7794">
          <cell r="A7794" t="str">
            <v>847E30200</v>
          </cell>
          <cell r="C7794" t="str">
            <v>CY</v>
          </cell>
          <cell r="D7794" t="str">
            <v>FULL DEPTH REPAIR</v>
          </cell>
          <cell r="G7794">
            <v>0</v>
          </cell>
        </row>
        <row r="7795">
          <cell r="A7795" t="str">
            <v>847E30201</v>
          </cell>
          <cell r="C7795" t="str">
            <v>CY</v>
          </cell>
          <cell r="D7795" t="str">
            <v>FULL DEPTH REPAIR, AS PER PLAN</v>
          </cell>
          <cell r="G7795">
            <v>0</v>
          </cell>
        </row>
        <row r="7796">
          <cell r="A7796" t="str">
            <v>847E30300</v>
          </cell>
          <cell r="C7796" t="str">
            <v>SY</v>
          </cell>
          <cell r="D7796" t="str">
            <v>WEARING COURSE REMOVED, ASPHALT</v>
          </cell>
          <cell r="G7796">
            <v>0</v>
          </cell>
        </row>
        <row r="7797">
          <cell r="A7797" t="str">
            <v>847E30301</v>
          </cell>
          <cell r="C7797" t="str">
            <v>SY</v>
          </cell>
          <cell r="D7797" t="str">
            <v>WEARING COURSE REMOVED, ASPHALT, AS PER PLAN</v>
          </cell>
          <cell r="G7797">
            <v>0</v>
          </cell>
        </row>
        <row r="7798">
          <cell r="A7798" t="str">
            <v>847E30400</v>
          </cell>
          <cell r="C7798" t="str">
            <v>SY</v>
          </cell>
          <cell r="D7798" t="str">
            <v>EXISTING CONCRETE OVERLAY REMOVED</v>
          </cell>
          <cell r="F7798" t="str">
            <v>SPECIFY NOMINAL THICKNESS</v>
          </cell>
          <cell r="G7798">
            <v>1</v>
          </cell>
        </row>
        <row r="7799">
          <cell r="A7799" t="str">
            <v>847E30401</v>
          </cell>
          <cell r="C7799" t="str">
            <v>SY</v>
          </cell>
          <cell r="D7799" t="str">
            <v>EXISTING CONCRETE OVERLAY REMOVED, AS PER PLAN</v>
          </cell>
          <cell r="F7799" t="str">
            <v>SPECIFY NOMINAL THICKNESS</v>
          </cell>
          <cell r="G7799">
            <v>1</v>
          </cell>
        </row>
        <row r="7800">
          <cell r="A7800" t="str">
            <v>847E50000</v>
          </cell>
          <cell r="C7800" t="str">
            <v>SY</v>
          </cell>
          <cell r="D7800" t="str">
            <v>HAND CHIPPING</v>
          </cell>
          <cell r="G7800">
            <v>0</v>
          </cell>
        </row>
        <row r="7801">
          <cell r="A7801" t="str">
            <v>848E10000</v>
          </cell>
          <cell r="C7801" t="str">
            <v>SY</v>
          </cell>
          <cell r="D7801" t="str">
            <v>MICRO SILICA MODIFIED CONCRETE OVERLAY USING HYDRODEMOLITION</v>
          </cell>
          <cell r="F7801" t="str">
            <v>SPECIFY THICKNESS</v>
          </cell>
          <cell r="G7801">
            <v>1</v>
          </cell>
        </row>
        <row r="7802">
          <cell r="A7802" t="str">
            <v>848E10001</v>
          </cell>
          <cell r="C7802" t="str">
            <v>SY</v>
          </cell>
          <cell r="D7802" t="str">
            <v>MICRO SILICA MODIFIED CONCRETE OVERLAY USING HYDRODEMOLITION, AS PER PLAN</v>
          </cell>
          <cell r="F7802" t="str">
            <v>SPECIFY THICKNESS</v>
          </cell>
          <cell r="G7802">
            <v>1</v>
          </cell>
        </row>
        <row r="7803">
          <cell r="A7803" t="str">
            <v>848E10100</v>
          </cell>
          <cell r="C7803" t="str">
            <v>SY</v>
          </cell>
          <cell r="D7803" t="str">
            <v>LATEX MODIFIED CONCRETE OVERLAY USING HYDRODEMOLITION</v>
          </cell>
          <cell r="F7803" t="str">
            <v>SPECIFY THICKNESS</v>
          </cell>
          <cell r="G7803">
            <v>1</v>
          </cell>
        </row>
        <row r="7804">
          <cell r="A7804" t="str">
            <v>848E10101</v>
          </cell>
          <cell r="C7804" t="str">
            <v>SY</v>
          </cell>
          <cell r="D7804" t="str">
            <v>LATEX MODIFIED CONCRETE OVERLAY USING HYDRODEMOLITION, AS PER PLAN</v>
          </cell>
          <cell r="F7804" t="str">
            <v>SPECIFY THICKNESS</v>
          </cell>
          <cell r="G7804">
            <v>1</v>
          </cell>
        </row>
        <row r="7805">
          <cell r="A7805" t="str">
            <v>848E10200</v>
          </cell>
          <cell r="C7805" t="str">
            <v>SY</v>
          </cell>
          <cell r="D7805" t="str">
            <v>SUPERPLASTICIZED DENSE CONCRETE OVERLAY USING HYDRODEMOLITION</v>
          </cell>
          <cell r="F7805" t="str">
            <v>SPECIFY THICKNESS</v>
          </cell>
          <cell r="G7805">
            <v>1</v>
          </cell>
        </row>
        <row r="7806">
          <cell r="A7806" t="str">
            <v>848E10201</v>
          </cell>
          <cell r="C7806" t="str">
            <v>SY</v>
          </cell>
          <cell r="D7806" t="str">
            <v>SUPERPLASTICIZED DENSE CONCRETE OVERLAY USING HYDRODEMOLITION, AS PER PLAN</v>
          </cell>
          <cell r="F7806" t="str">
            <v>SPECIFY THICKNESS</v>
          </cell>
          <cell r="G7806">
            <v>1</v>
          </cell>
        </row>
        <row r="7807">
          <cell r="A7807" t="str">
            <v>848E20000</v>
          </cell>
          <cell r="C7807" t="str">
            <v>SY</v>
          </cell>
          <cell r="D7807" t="str">
            <v>SURFACE PREPARATION USING HYDRODEMOLITION</v>
          </cell>
          <cell r="G7807">
            <v>0</v>
          </cell>
        </row>
        <row r="7808">
          <cell r="A7808" t="str">
            <v>848E20001</v>
          </cell>
          <cell r="C7808" t="str">
            <v>SY</v>
          </cell>
          <cell r="D7808" t="str">
            <v>SURFACE PREPARATION USING HYDRO DEMOLITION, AS PER PLAN</v>
          </cell>
          <cell r="G7808">
            <v>0</v>
          </cell>
        </row>
        <row r="7809">
          <cell r="A7809" t="str">
            <v>848E30000</v>
          </cell>
          <cell r="C7809" t="str">
            <v>CY</v>
          </cell>
          <cell r="D7809" t="str">
            <v>MICRO SILICA MODIFIED CONCRETE OVERLAY (VARIABLE THICKNESS), MATERIAL ONLY</v>
          </cell>
          <cell r="G7809">
            <v>0</v>
          </cell>
        </row>
        <row r="7810">
          <cell r="A7810" t="str">
            <v>848E30001</v>
          </cell>
          <cell r="C7810" t="str">
            <v>CY</v>
          </cell>
          <cell r="D7810" t="str">
            <v>MICRO SILICA MODIFIED CONCRETE OVERLAY (VARIABLE THICKNESS), MATERIAL ONLY, AS PER PLAN</v>
          </cell>
          <cell r="G7810">
            <v>0</v>
          </cell>
        </row>
        <row r="7811">
          <cell r="A7811" t="str">
            <v>848E30100</v>
          </cell>
          <cell r="C7811" t="str">
            <v>CY</v>
          </cell>
          <cell r="D7811" t="str">
            <v>LATEX MODIFIED CONCRETE OVERLAY (VARIABLE THICKNESS), MATERIAL ONLY</v>
          </cell>
          <cell r="G7811">
            <v>0</v>
          </cell>
        </row>
        <row r="7812">
          <cell r="A7812" t="str">
            <v>848E30101</v>
          </cell>
          <cell r="C7812" t="str">
            <v>CY</v>
          </cell>
          <cell r="D7812" t="str">
            <v>LATEX MODIFIED CONCRETE OVERLAY (VARIABLE THICKNESS), MATERIAL ONLY, AS PER PLAN</v>
          </cell>
          <cell r="G7812">
            <v>0</v>
          </cell>
        </row>
        <row r="7813">
          <cell r="A7813" t="str">
            <v>848E30200</v>
          </cell>
          <cell r="C7813" t="str">
            <v>CY</v>
          </cell>
          <cell r="D7813" t="str">
            <v>SUPERPLASTICIZED DENSE CONCRETE OVERLAY (VARIABLE THICKNESS), MATERIAL ONLY</v>
          </cell>
          <cell r="G7813">
            <v>0</v>
          </cell>
        </row>
        <row r="7814">
          <cell r="A7814" t="str">
            <v>848E30201</v>
          </cell>
          <cell r="C7814" t="str">
            <v>CY</v>
          </cell>
          <cell r="D7814" t="str">
            <v>SUPERPLASTICIZED DENSE CONCRETE OVERLAY (VARIABLE THICKNESS), MATERIAL ONLY, AS PER PLAN</v>
          </cell>
          <cell r="G7814">
            <v>0</v>
          </cell>
        </row>
        <row r="7815">
          <cell r="A7815" t="str">
            <v>848E50000</v>
          </cell>
          <cell r="C7815" t="str">
            <v>SY</v>
          </cell>
          <cell r="D7815" t="str">
            <v>HAND CHIPPING</v>
          </cell>
          <cell r="G7815">
            <v>0</v>
          </cell>
        </row>
        <row r="7816">
          <cell r="A7816" t="str">
            <v>848E50001</v>
          </cell>
          <cell r="C7816" t="str">
            <v>SY</v>
          </cell>
          <cell r="D7816" t="str">
            <v>HAND CHIPPING, AS PER PLAN</v>
          </cell>
          <cell r="G7816">
            <v>0</v>
          </cell>
        </row>
        <row r="7817">
          <cell r="A7817" t="str">
            <v>848E50100</v>
          </cell>
          <cell r="C7817" t="str">
            <v>LS</v>
          </cell>
          <cell r="D7817" t="str">
            <v>TEST SLAB</v>
          </cell>
          <cell r="G7817">
            <v>0</v>
          </cell>
        </row>
        <row r="7818">
          <cell r="A7818" t="str">
            <v>848E50101</v>
          </cell>
          <cell r="C7818" t="str">
            <v>LS</v>
          </cell>
          <cell r="D7818" t="str">
            <v>TEST SLAB, AS PER PLAN</v>
          </cell>
          <cell r="G7818">
            <v>0</v>
          </cell>
        </row>
        <row r="7819">
          <cell r="A7819" t="str">
            <v>848E50200</v>
          </cell>
          <cell r="C7819" t="str">
            <v>CY</v>
          </cell>
          <cell r="D7819" t="str">
            <v>FULL-DEPTH REPAIR</v>
          </cell>
          <cell r="G7819">
            <v>0</v>
          </cell>
        </row>
        <row r="7820">
          <cell r="A7820" t="str">
            <v>848E50201</v>
          </cell>
          <cell r="C7820" t="str">
            <v>CY</v>
          </cell>
          <cell r="D7820" t="str">
            <v>FULL DEPTH REPAIR, AS PER PLAN</v>
          </cell>
          <cell r="G7820">
            <v>0</v>
          </cell>
        </row>
        <row r="7821">
          <cell r="A7821" t="str">
            <v>848E50300</v>
          </cell>
          <cell r="C7821" t="str">
            <v>SY</v>
          </cell>
          <cell r="D7821" t="str">
            <v>WEARING COURSE REMOVED, ASPHALT</v>
          </cell>
          <cell r="G7821">
            <v>0</v>
          </cell>
        </row>
        <row r="7822">
          <cell r="A7822" t="str">
            <v>848E50301</v>
          </cell>
          <cell r="C7822" t="str">
            <v>SY</v>
          </cell>
          <cell r="D7822" t="str">
            <v>WEARING COURSE REMOVED, ASPHALT, AS PER PLAN</v>
          </cell>
          <cell r="G7822">
            <v>0</v>
          </cell>
        </row>
        <row r="7823">
          <cell r="A7823" t="str">
            <v>848E50320</v>
          </cell>
          <cell r="C7823" t="str">
            <v>SY</v>
          </cell>
          <cell r="D7823" t="str">
            <v>EXISTING CONCRETE OVERLAY REMOVED</v>
          </cell>
          <cell r="F7823" t="str">
            <v>SPECIFY THICKNESS</v>
          </cell>
          <cell r="G7823">
            <v>1</v>
          </cell>
        </row>
        <row r="7824">
          <cell r="A7824" t="str">
            <v>848E50321</v>
          </cell>
          <cell r="C7824" t="str">
            <v>SY</v>
          </cell>
          <cell r="D7824" t="str">
            <v>EXISTING CONCRETE OVERLAY REMOVED, AS PER PLAN</v>
          </cell>
          <cell r="G7824">
            <v>0</v>
          </cell>
        </row>
        <row r="7825">
          <cell r="A7825" t="str">
            <v>848E50340</v>
          </cell>
          <cell r="C7825" t="str">
            <v>SY</v>
          </cell>
          <cell r="D7825" t="str">
            <v>REMOVAL OF DEBONDED OR DETERIORATED EXISTING VARIABLE THICKNESS CONCRETE OVERLAY</v>
          </cell>
          <cell r="G7825">
            <v>0</v>
          </cell>
        </row>
        <row r="7826">
          <cell r="A7826" t="str">
            <v>848E50341</v>
          </cell>
          <cell r="C7826" t="str">
            <v>SY</v>
          </cell>
          <cell r="D7826" t="str">
            <v>REMOVAL OF DEBONDED OR DETERIORATED EXISTING VARIABLE THICKNESS CONCRETE OVERLAY, AS PER PLAN</v>
          </cell>
          <cell r="G7826">
            <v>0</v>
          </cell>
        </row>
        <row r="7827">
          <cell r="A7827" t="str">
            <v>848E90000</v>
          </cell>
          <cell r="C7827" t="str">
            <v>SY</v>
          </cell>
          <cell r="D7827" t="str">
            <v>OVERLAY, MISC.:</v>
          </cell>
          <cell r="F7827" t="str">
            <v>ADD SUPPLEMENTAL DESCRIPTION</v>
          </cell>
          <cell r="G7827">
            <v>1</v>
          </cell>
        </row>
        <row r="7828">
          <cell r="A7828" t="str">
            <v>848E91000</v>
          </cell>
          <cell r="C7828" t="str">
            <v>CY</v>
          </cell>
          <cell r="D7828" t="str">
            <v>OVERLAY, MISC.:</v>
          </cell>
          <cell r="F7828" t="str">
            <v>ADD SUPPLEMENTAL DESCRIPTION</v>
          </cell>
          <cell r="G7828">
            <v>1</v>
          </cell>
        </row>
        <row r="7829">
          <cell r="A7829" t="str">
            <v>848E99000</v>
          </cell>
          <cell r="B7829" t="str">
            <v>Y</v>
          </cell>
          <cell r="C7829" t="str">
            <v>CY</v>
          </cell>
          <cell r="D7829" t="str">
            <v>SPECIAL - CONCRETE OVERLAY, VARIABLE THICKNESS, MATERIAL ONLY</v>
          </cell>
          <cell r="F7829" t="str">
            <v>DESIGN BUILD PROJECTS ONLY</v>
          </cell>
          <cell r="G7829">
            <v>0</v>
          </cell>
        </row>
        <row r="7830">
          <cell r="A7830" t="str">
            <v>848E99100</v>
          </cell>
          <cell r="B7830" t="str">
            <v>Y</v>
          </cell>
          <cell r="C7830" t="str">
            <v>LS</v>
          </cell>
          <cell r="D7830" t="str">
            <v>SPECIAL - BRIDGE DECK CONCRETE OVERLAYS</v>
          </cell>
          <cell r="F7830" t="str">
            <v>DESIGN BUILD PROJECTS ONLY</v>
          </cell>
          <cell r="G7830">
            <v>0</v>
          </cell>
        </row>
        <row r="7831">
          <cell r="A7831" t="str">
            <v>849E10000</v>
          </cell>
          <cell r="C7831" t="str">
            <v>LS</v>
          </cell>
          <cell r="D7831" t="str">
            <v>DAMAGE ASSESSMENT</v>
          </cell>
          <cell r="G7831">
            <v>0</v>
          </cell>
        </row>
        <row r="7832">
          <cell r="A7832" t="str">
            <v>849E10001</v>
          </cell>
          <cell r="C7832" t="str">
            <v>LS</v>
          </cell>
          <cell r="D7832" t="str">
            <v>DAMAGE ASSESSMENT, AS PER PLAN</v>
          </cell>
          <cell r="G7832">
            <v>0</v>
          </cell>
        </row>
        <row r="7833">
          <cell r="A7833" t="str">
            <v>849E10500</v>
          </cell>
          <cell r="C7833" t="str">
            <v>LS</v>
          </cell>
          <cell r="D7833" t="str">
            <v>SURFACE PREPARATION</v>
          </cell>
          <cell r="G7833">
            <v>0</v>
          </cell>
        </row>
        <row r="7834">
          <cell r="A7834" t="str">
            <v>849E10600</v>
          </cell>
          <cell r="C7834" t="str">
            <v>HOUR</v>
          </cell>
          <cell r="D7834" t="str">
            <v>REPAIRING DAMAGED MEMBERS BY GRINDING</v>
          </cell>
          <cell r="G7834">
            <v>0</v>
          </cell>
        </row>
        <row r="7835">
          <cell r="A7835" t="str">
            <v>849E10700</v>
          </cell>
          <cell r="C7835" t="str">
            <v>LS</v>
          </cell>
          <cell r="D7835" t="str">
            <v>STRAIGHTENING DAMAGED MEMBERS</v>
          </cell>
          <cell r="G7835">
            <v>0</v>
          </cell>
        </row>
        <row r="7836">
          <cell r="A7836" t="str">
            <v>850E70000</v>
          </cell>
          <cell r="C7836" t="str">
            <v>SY</v>
          </cell>
          <cell r="D7836" t="str">
            <v>4" CEMENT TREATED FREE DRAINING BASE</v>
          </cell>
          <cell r="G7836">
            <v>0</v>
          </cell>
        </row>
        <row r="7837">
          <cell r="A7837" t="str">
            <v>851E40000</v>
          </cell>
          <cell r="C7837" t="str">
            <v>SY</v>
          </cell>
          <cell r="D7837" t="str">
            <v>4" ASPHALT TREATED FREE DRAINING BASE</v>
          </cell>
          <cell r="G7837">
            <v>0</v>
          </cell>
        </row>
        <row r="7838">
          <cell r="A7838" t="str">
            <v>852E10000</v>
          </cell>
          <cell r="C7838" t="str">
            <v>SY</v>
          </cell>
          <cell r="D7838" t="str">
            <v>ULTRA-THIN WHITETOPPING</v>
          </cell>
          <cell r="G7838">
            <v>0</v>
          </cell>
        </row>
        <row r="7839">
          <cell r="A7839" t="str">
            <v>856E10000</v>
          </cell>
          <cell r="C7839" t="str">
            <v>CY</v>
          </cell>
          <cell r="D7839" t="str">
            <v>BRIDGE DECK WATERPROOFING ASPHALT CONCRETE</v>
          </cell>
          <cell r="G7839">
            <v>0</v>
          </cell>
        </row>
        <row r="7840">
          <cell r="A7840" t="str">
            <v>857E10000</v>
          </cell>
          <cell r="C7840" t="str">
            <v>CY</v>
          </cell>
          <cell r="D7840" t="str">
            <v>ASPHALT CONCRETE WITH GILSONITE, SURFACE COURSE, TYPE 1</v>
          </cell>
          <cell r="G7840">
            <v>0</v>
          </cell>
        </row>
        <row r="7841">
          <cell r="A7841" t="str">
            <v>857E19000</v>
          </cell>
          <cell r="C7841" t="str">
            <v>CY</v>
          </cell>
          <cell r="D7841" t="str">
            <v>ASPHALT CONCRETE WITH GILSONITE, INTERMEDIATE COURSE, TYPE 1</v>
          </cell>
          <cell r="G7841">
            <v>0</v>
          </cell>
        </row>
        <row r="7842">
          <cell r="A7842" t="str">
            <v>857E20000</v>
          </cell>
          <cell r="C7842" t="str">
            <v>CY</v>
          </cell>
          <cell r="D7842" t="str">
            <v>ASPHALT CONCRETE WITH GILSONITE, INTERMEDIATE COURSE, TYPE 2</v>
          </cell>
          <cell r="G7842">
            <v>0</v>
          </cell>
        </row>
        <row r="7843">
          <cell r="A7843" t="str">
            <v>859E10000</v>
          </cell>
          <cell r="C7843" t="str">
            <v>CY</v>
          </cell>
          <cell r="D7843" t="str">
            <v>ASPHALT CONCRETE WITH VERGLIMIT</v>
          </cell>
          <cell r="G7843">
            <v>0</v>
          </cell>
        </row>
        <row r="7844">
          <cell r="A7844" t="str">
            <v>859E10001</v>
          </cell>
          <cell r="C7844" t="str">
            <v>CY</v>
          </cell>
          <cell r="D7844" t="str">
            <v>ASPHALT CONCRETE WITH VERGLIMIT, AS PER PLAN</v>
          </cell>
          <cell r="G7844">
            <v>0</v>
          </cell>
        </row>
        <row r="7845">
          <cell r="A7845" t="str">
            <v>861E10000</v>
          </cell>
          <cell r="C7845" t="str">
            <v>SY</v>
          </cell>
          <cell r="D7845" t="str">
            <v>GEOGRID FOR SUBGRADE STABILIZATION</v>
          </cell>
          <cell r="G7845">
            <v>0</v>
          </cell>
        </row>
        <row r="7846">
          <cell r="A7846" t="str">
            <v>861E10001</v>
          </cell>
          <cell r="C7846" t="str">
            <v>SY</v>
          </cell>
          <cell r="D7846" t="str">
            <v>GEOGRID FOR SUBGRADE STABILIZATION, AS PER PLAN</v>
          </cell>
          <cell r="G7846">
            <v>0</v>
          </cell>
        </row>
        <row r="7847">
          <cell r="A7847" t="str">
            <v>862E00500</v>
          </cell>
          <cell r="C7847" t="str">
            <v>HOUR</v>
          </cell>
          <cell r="D7847" t="str">
            <v>SCALING</v>
          </cell>
          <cell r="G7847">
            <v>0</v>
          </cell>
        </row>
        <row r="7848">
          <cell r="A7848" t="str">
            <v>862E00600</v>
          </cell>
          <cell r="C7848" t="str">
            <v>SY</v>
          </cell>
          <cell r="D7848" t="str">
            <v>SLOPE DRAPE</v>
          </cell>
          <cell r="G7848">
            <v>0</v>
          </cell>
        </row>
        <row r="7849">
          <cell r="A7849" t="str">
            <v>862E00601</v>
          </cell>
          <cell r="C7849" t="str">
            <v>SY</v>
          </cell>
          <cell r="D7849" t="str">
            <v>SLOPE DRAPE, AS PER PLAN</v>
          </cell>
          <cell r="G7849">
            <v>0</v>
          </cell>
        </row>
        <row r="7850">
          <cell r="A7850" t="str">
            <v>862E00610</v>
          </cell>
          <cell r="C7850" t="str">
            <v>CY</v>
          </cell>
          <cell r="D7850" t="str">
            <v>EXCAVATION</v>
          </cell>
          <cell r="G7850">
            <v>0</v>
          </cell>
        </row>
        <row r="7851">
          <cell r="A7851" t="str">
            <v>862E00650</v>
          </cell>
          <cell r="B7851" t="str">
            <v>Y</v>
          </cell>
          <cell r="C7851" t="str">
            <v>SY</v>
          </cell>
          <cell r="D7851" t="str">
            <v>SPECIAL - STEEL WIRE MESH</v>
          </cell>
          <cell r="G7851">
            <v>0</v>
          </cell>
        </row>
        <row r="7852">
          <cell r="A7852" t="str">
            <v>862E00700</v>
          </cell>
          <cell r="C7852" t="str">
            <v>SF</v>
          </cell>
          <cell r="D7852" t="str">
            <v>TRIM BLASTING</v>
          </cell>
          <cell r="G7852">
            <v>0</v>
          </cell>
        </row>
        <row r="7853">
          <cell r="A7853" t="str">
            <v>862E99000</v>
          </cell>
          <cell r="C7853" t="str">
            <v>FT</v>
          </cell>
          <cell r="D7853" t="str">
            <v>ROCKFALL PROTECTION, MISC.:</v>
          </cell>
          <cell r="F7853" t="str">
            <v>ADD SUPPLEMENTAL DESCRIPTION</v>
          </cell>
          <cell r="G7853">
            <v>1</v>
          </cell>
        </row>
        <row r="7854">
          <cell r="A7854" t="str">
            <v>863E00100</v>
          </cell>
          <cell r="C7854" t="str">
            <v>SY</v>
          </cell>
          <cell r="D7854" t="str">
            <v>GEOGRID, TYPE P1</v>
          </cell>
          <cell r="G7854">
            <v>0</v>
          </cell>
        </row>
        <row r="7855">
          <cell r="A7855" t="str">
            <v>863E00200</v>
          </cell>
          <cell r="C7855" t="str">
            <v>SY</v>
          </cell>
          <cell r="D7855" t="str">
            <v>GEOGRID, TYPE P2</v>
          </cell>
          <cell r="G7855">
            <v>0</v>
          </cell>
        </row>
        <row r="7856">
          <cell r="A7856" t="str">
            <v>863E00300</v>
          </cell>
          <cell r="C7856" t="str">
            <v>SY</v>
          </cell>
          <cell r="D7856" t="str">
            <v>GEOGRID, TYPE P3</v>
          </cell>
          <cell r="G7856">
            <v>0</v>
          </cell>
        </row>
        <row r="7857">
          <cell r="A7857" t="str">
            <v>863E00400</v>
          </cell>
          <cell r="C7857" t="str">
            <v>SY</v>
          </cell>
          <cell r="D7857" t="str">
            <v>GEOGRID, TYPE P4</v>
          </cell>
          <cell r="G7857">
            <v>0</v>
          </cell>
        </row>
        <row r="7858">
          <cell r="A7858" t="str">
            <v>863E00500</v>
          </cell>
          <cell r="C7858" t="str">
            <v>SY</v>
          </cell>
          <cell r="D7858" t="str">
            <v>GEOGRID, TYPE P5</v>
          </cell>
          <cell r="G7858">
            <v>0</v>
          </cell>
        </row>
        <row r="7859">
          <cell r="A7859" t="str">
            <v>863E00600</v>
          </cell>
          <cell r="C7859" t="str">
            <v>SY</v>
          </cell>
          <cell r="D7859" t="str">
            <v>GEOGRID, TYPE S1</v>
          </cell>
          <cell r="G7859">
            <v>0</v>
          </cell>
        </row>
        <row r="7860">
          <cell r="A7860" t="str">
            <v>863E00700</v>
          </cell>
          <cell r="C7860" t="str">
            <v>SY</v>
          </cell>
          <cell r="D7860" t="str">
            <v>GEOGRID, TYPE S2</v>
          </cell>
          <cell r="G7860">
            <v>0</v>
          </cell>
        </row>
        <row r="7861">
          <cell r="A7861" t="str">
            <v>863E00800</v>
          </cell>
          <cell r="C7861" t="str">
            <v>CY</v>
          </cell>
          <cell r="D7861" t="str">
            <v>REINFORCED EMBANKMENT</v>
          </cell>
          <cell r="G7861">
            <v>0</v>
          </cell>
        </row>
        <row r="7862">
          <cell r="A7862" t="str">
            <v>863E00801</v>
          </cell>
          <cell r="C7862" t="str">
            <v>CY</v>
          </cell>
          <cell r="D7862" t="str">
            <v>REINFORCED EMBANKMENT, AS PER PLAN</v>
          </cell>
          <cell r="G7862">
            <v>0</v>
          </cell>
        </row>
        <row r="7863">
          <cell r="A7863" t="str">
            <v>866E00100</v>
          </cell>
          <cell r="C7863" t="str">
            <v>EACH</v>
          </cell>
          <cell r="D7863" t="str">
            <v>GROUND ANCHOR,</v>
          </cell>
          <cell r="F7863" t="str">
            <v>SPECIFY ___ KIP MAX. TEST LOAD</v>
          </cell>
          <cell r="G7863">
            <v>1</v>
          </cell>
        </row>
        <row r="7864">
          <cell r="A7864" t="str">
            <v>866E00101</v>
          </cell>
          <cell r="C7864" t="str">
            <v>EACH</v>
          </cell>
          <cell r="D7864" t="str">
            <v>GROUND ANCHOR, AS PER PLAN</v>
          </cell>
          <cell r="F7864" t="str">
            <v>SPECIFY ___ KIP MAX. TEST LOAD</v>
          </cell>
          <cell r="G7864">
            <v>1</v>
          </cell>
        </row>
        <row r="7865">
          <cell r="A7865" t="str">
            <v>866E00200</v>
          </cell>
          <cell r="C7865" t="str">
            <v>EACH</v>
          </cell>
          <cell r="D7865" t="str">
            <v>TEMPORARY GROUND ANCHOR</v>
          </cell>
          <cell r="F7865" t="str">
            <v>SPECIFY ___ KIP MAX. TEST LOAD</v>
          </cell>
          <cell r="G7865">
            <v>1</v>
          </cell>
        </row>
        <row r="7866">
          <cell r="A7866" t="str">
            <v>866E00300</v>
          </cell>
          <cell r="C7866" t="str">
            <v>LS</v>
          </cell>
          <cell r="D7866" t="str">
            <v>INVESTIGATIVE ANCHOR PULLOUT TESTS</v>
          </cell>
          <cell r="G7866">
            <v>0</v>
          </cell>
        </row>
        <row r="7867">
          <cell r="A7867" t="str">
            <v>866E00400</v>
          </cell>
          <cell r="C7867" t="str">
            <v>EACH</v>
          </cell>
          <cell r="D7867" t="str">
            <v>PERFORMANCE TEST</v>
          </cell>
          <cell r="G7867">
            <v>0</v>
          </cell>
        </row>
        <row r="7868">
          <cell r="A7868" t="str">
            <v>866E00500</v>
          </cell>
          <cell r="C7868" t="str">
            <v>EACH</v>
          </cell>
          <cell r="D7868" t="str">
            <v>EXTENDED CREEP TEST</v>
          </cell>
          <cell r="G7868">
            <v>0</v>
          </cell>
        </row>
        <row r="7869">
          <cell r="A7869" t="str">
            <v>866E01000</v>
          </cell>
          <cell r="C7869" t="str">
            <v>CY</v>
          </cell>
          <cell r="D7869" t="str">
            <v>PRE-GROUTING IN ROCK</v>
          </cell>
          <cell r="G7869">
            <v>0</v>
          </cell>
        </row>
        <row r="7870">
          <cell r="A7870" t="str">
            <v>866E01100</v>
          </cell>
          <cell r="C7870" t="str">
            <v>EACH</v>
          </cell>
          <cell r="D7870" t="str">
            <v>REDRILLING PRE-GROUTED HOLES IN ROCK</v>
          </cell>
          <cell r="G7870">
            <v>0</v>
          </cell>
        </row>
        <row r="7871">
          <cell r="A7871" t="str">
            <v>869E00100</v>
          </cell>
          <cell r="C7871" t="str">
            <v>EACH</v>
          </cell>
          <cell r="D7871" t="str">
            <v>HIGH LOAD MULTI-ROTATIONAL (HLMR) BEARINGS</v>
          </cell>
          <cell r="G7871">
            <v>0</v>
          </cell>
        </row>
        <row r="7872">
          <cell r="A7872" t="str">
            <v>869E00101</v>
          </cell>
          <cell r="C7872" t="str">
            <v>EACH</v>
          </cell>
          <cell r="D7872" t="str">
            <v>HIGH LOAD MULTI-ROTATIONAL (HLMR) BEARINGS, AS PER PLAN</v>
          </cell>
          <cell r="G7872">
            <v>0</v>
          </cell>
        </row>
        <row r="7873">
          <cell r="A7873" t="str">
            <v>871E10000</v>
          </cell>
          <cell r="C7873" t="str">
            <v>CY</v>
          </cell>
          <cell r="D7873" t="str">
            <v>EMBANKMENT USING FLY ASH</v>
          </cell>
          <cell r="G7873">
            <v>0</v>
          </cell>
        </row>
        <row r="7874">
          <cell r="A7874" t="str">
            <v>871E10020</v>
          </cell>
          <cell r="C7874" t="str">
            <v>CY</v>
          </cell>
          <cell r="D7874" t="str">
            <v>EMBANKMENT USING BOTTOM ASH</v>
          </cell>
          <cell r="G7874">
            <v>0</v>
          </cell>
        </row>
        <row r="7875">
          <cell r="A7875" t="str">
            <v>871E10040</v>
          </cell>
          <cell r="C7875" t="str">
            <v>CY</v>
          </cell>
          <cell r="D7875" t="str">
            <v>EMBANKMENT USING FOUNDRY SAND</v>
          </cell>
          <cell r="G7875">
            <v>0</v>
          </cell>
        </row>
        <row r="7876">
          <cell r="A7876" t="str">
            <v>871E10060</v>
          </cell>
          <cell r="C7876" t="str">
            <v>CY</v>
          </cell>
          <cell r="D7876" t="str">
            <v>EMBANKMENT USING RECYCLED GLASS</v>
          </cell>
          <cell r="G7876">
            <v>0</v>
          </cell>
        </row>
        <row r="7877">
          <cell r="A7877" t="str">
            <v>871E10080</v>
          </cell>
          <cell r="C7877" t="str">
            <v>CY</v>
          </cell>
          <cell r="D7877" t="str">
            <v>EMBANKMENT USING TIRE SHREDS</v>
          </cell>
          <cell r="G7877">
            <v>0</v>
          </cell>
        </row>
        <row r="7878">
          <cell r="A7878" t="str">
            <v>871E10090</v>
          </cell>
          <cell r="C7878" t="str">
            <v>CY</v>
          </cell>
          <cell r="D7878" t="str">
            <v>EMBANKMENT USING PETROLEUM CONTAMINATED SOIL</v>
          </cell>
          <cell r="G7878">
            <v>0</v>
          </cell>
        </row>
        <row r="7879">
          <cell r="A7879" t="str">
            <v>871E10110</v>
          </cell>
          <cell r="C7879" t="str">
            <v>CY</v>
          </cell>
          <cell r="D7879" t="str">
            <v>EMBANKMENT USING RECYCLED MATERIALS</v>
          </cell>
          <cell r="G7879">
            <v>0</v>
          </cell>
        </row>
        <row r="7880">
          <cell r="A7880" t="str">
            <v>871E30000</v>
          </cell>
          <cell r="C7880" t="str">
            <v>LS</v>
          </cell>
          <cell r="D7880" t="str">
            <v>SOILS CONSULTANT ANALYSIS</v>
          </cell>
          <cell r="G7880">
            <v>0</v>
          </cell>
        </row>
        <row r="7881">
          <cell r="A7881" t="str">
            <v>873E10000</v>
          </cell>
          <cell r="C7881" t="str">
            <v>FT</v>
          </cell>
          <cell r="D7881" t="str">
            <v>WET REFLECTIVE REMOVABLE TAPE</v>
          </cell>
          <cell r="G7881">
            <v>0</v>
          </cell>
        </row>
        <row r="7882">
          <cell r="A7882" t="str">
            <v>873E20000</v>
          </cell>
          <cell r="C7882" t="str">
            <v>MILE</v>
          </cell>
          <cell r="D7882" t="str">
            <v>WORK ZONE LANE LINE, CLASS I</v>
          </cell>
          <cell r="G7882">
            <v>0</v>
          </cell>
        </row>
        <row r="7883">
          <cell r="A7883" t="str">
            <v>873E20500</v>
          </cell>
          <cell r="C7883" t="str">
            <v>MILE</v>
          </cell>
          <cell r="D7883" t="str">
            <v>WORK ZONE LANE LINE, CLASS II</v>
          </cell>
          <cell r="G7883">
            <v>0</v>
          </cell>
        </row>
        <row r="7884">
          <cell r="A7884" t="str">
            <v>873E21000</v>
          </cell>
          <cell r="C7884" t="str">
            <v>MILE</v>
          </cell>
          <cell r="D7884" t="str">
            <v>WORK ZONE CENTER LINE, CLASS I</v>
          </cell>
          <cell r="G7884">
            <v>0</v>
          </cell>
        </row>
        <row r="7885">
          <cell r="A7885" t="str">
            <v>873E21500</v>
          </cell>
          <cell r="C7885" t="str">
            <v>MILE</v>
          </cell>
          <cell r="D7885" t="str">
            <v>WORK ZONE CENTER LINE, CLASS II</v>
          </cell>
          <cell r="G7885">
            <v>0</v>
          </cell>
        </row>
        <row r="7886">
          <cell r="A7886" t="str">
            <v>873E22000</v>
          </cell>
          <cell r="C7886" t="str">
            <v>MILE</v>
          </cell>
          <cell r="D7886" t="str">
            <v>WORK ZONE EDGE LINE, CLASS I</v>
          </cell>
          <cell r="G7886">
            <v>0</v>
          </cell>
        </row>
        <row r="7887">
          <cell r="A7887" t="str">
            <v>873E23000</v>
          </cell>
          <cell r="C7887" t="str">
            <v>FT</v>
          </cell>
          <cell r="D7887" t="str">
            <v>WORK ZONE CHANNELIZING LINE, CLASS I</v>
          </cell>
          <cell r="G7887">
            <v>0</v>
          </cell>
        </row>
        <row r="7888">
          <cell r="A7888" t="str">
            <v>873E24000</v>
          </cell>
          <cell r="C7888" t="str">
            <v>FT</v>
          </cell>
          <cell r="D7888" t="str">
            <v>WORK ZONE GORE MARKING, CLASS II</v>
          </cell>
          <cell r="G7888">
            <v>0</v>
          </cell>
        </row>
        <row r="7889">
          <cell r="A7889" t="str">
            <v>873E25000</v>
          </cell>
          <cell r="C7889" t="str">
            <v>FT</v>
          </cell>
          <cell r="D7889" t="str">
            <v>WORK ZONE STOP LINE, CLASS I</v>
          </cell>
          <cell r="G7889">
            <v>0</v>
          </cell>
        </row>
        <row r="7890">
          <cell r="A7890" t="str">
            <v>873E26000</v>
          </cell>
          <cell r="C7890" t="str">
            <v>FT</v>
          </cell>
          <cell r="D7890" t="str">
            <v>WORK ZONE CROSSWALK LINE, CLASS I</v>
          </cell>
          <cell r="G7890">
            <v>0</v>
          </cell>
        </row>
        <row r="7891">
          <cell r="A7891" t="str">
            <v>873E27000</v>
          </cell>
          <cell r="C7891" t="str">
            <v>FT</v>
          </cell>
          <cell r="D7891" t="str">
            <v>WORK ZONE DOTTED LINE, CLASS I</v>
          </cell>
          <cell r="G7891">
            <v>0</v>
          </cell>
        </row>
        <row r="7892">
          <cell r="A7892" t="str">
            <v>874E10000</v>
          </cell>
          <cell r="C7892" t="str">
            <v>CY</v>
          </cell>
          <cell r="D7892" t="str">
            <v>ULTRATHIN BONDED ASPHALT CONCRETE</v>
          </cell>
          <cell r="G7892">
            <v>0</v>
          </cell>
        </row>
        <row r="7893">
          <cell r="A7893" t="str">
            <v>874E10001</v>
          </cell>
          <cell r="C7893" t="str">
            <v>CY</v>
          </cell>
          <cell r="D7893" t="str">
            <v>ULTRATHIN BONDED ASPHALT CONCRETE, AS PER PLAN</v>
          </cell>
          <cell r="G7893">
            <v>0</v>
          </cell>
        </row>
        <row r="7894">
          <cell r="A7894" t="str">
            <v>874E10020</v>
          </cell>
          <cell r="C7894" t="str">
            <v>CY</v>
          </cell>
          <cell r="D7894" t="str">
            <v>ULTRATHIN BONDED ASPHALT CONCRETE, WITH SUPPLEMENT 1059 WARRANTY</v>
          </cell>
          <cell r="G7894">
            <v>0</v>
          </cell>
        </row>
        <row r="7895">
          <cell r="A7895" t="str">
            <v>874E10021</v>
          </cell>
          <cell r="C7895" t="str">
            <v>CY</v>
          </cell>
          <cell r="D7895" t="str">
            <v>ULTRATHIN BONDED ASPHALT CONCRETE, WITH SUPPLEMENT 1059 WARRANTY, AS PER PLAN</v>
          </cell>
          <cell r="G7895">
            <v>0</v>
          </cell>
        </row>
        <row r="7896">
          <cell r="A7896" t="str">
            <v>875E10000</v>
          </cell>
          <cell r="C7896" t="str">
            <v>LB</v>
          </cell>
          <cell r="D7896" t="str">
            <v>LONGITUDINAL JOINT ADHESIVE</v>
          </cell>
          <cell r="G7896">
            <v>0</v>
          </cell>
        </row>
        <row r="7897">
          <cell r="A7897" t="str">
            <v>878E25000</v>
          </cell>
          <cell r="C7897" t="str">
            <v>LS</v>
          </cell>
          <cell r="D7897" t="str">
            <v>INSPECTION AND COMPACTION TESTING OF UNBOUND MATERIALS</v>
          </cell>
          <cell r="G7897">
            <v>0</v>
          </cell>
        </row>
        <row r="7898">
          <cell r="A7898" t="str">
            <v>880E10000</v>
          </cell>
          <cell r="C7898" t="str">
            <v>CY</v>
          </cell>
          <cell r="D7898" t="str">
            <v>ASPHALT CONCRETE (5 YEAR WARRANTY)</v>
          </cell>
          <cell r="G7898">
            <v>0</v>
          </cell>
        </row>
        <row r="7899">
          <cell r="A7899" t="str">
            <v>880E10001</v>
          </cell>
          <cell r="C7899" t="str">
            <v>CY</v>
          </cell>
          <cell r="D7899" t="str">
            <v>ASPHALT CONCRETE WITH WARRANTY (5 YEARS), AS PER PLAN</v>
          </cell>
          <cell r="G7899">
            <v>0</v>
          </cell>
        </row>
        <row r="7900">
          <cell r="A7900" t="str">
            <v>880E15000</v>
          </cell>
          <cell r="C7900" t="str">
            <v>CY</v>
          </cell>
          <cell r="D7900" t="str">
            <v>ASPHALT CONCRETE (7 YEAR WARRANTY)</v>
          </cell>
          <cell r="G7900">
            <v>0</v>
          </cell>
        </row>
        <row r="7901">
          <cell r="A7901" t="str">
            <v>880E15001</v>
          </cell>
          <cell r="C7901" t="str">
            <v>CY</v>
          </cell>
          <cell r="D7901" t="str">
            <v>ASPHALT CONCRETE WITH WARRANTY (7 YEARS), AS PER PLAN</v>
          </cell>
          <cell r="G7901">
            <v>0</v>
          </cell>
        </row>
        <row r="7902">
          <cell r="A7902" t="str">
            <v>880E99000</v>
          </cell>
          <cell r="B7902" t="str">
            <v>Y</v>
          </cell>
          <cell r="C7902" t="str">
            <v>LS</v>
          </cell>
          <cell r="D7902" t="str">
            <v>SPECIAL - ASPHALT PAVEMENT (5 YEAR WARRANTY)</v>
          </cell>
          <cell r="F7902" t="str">
            <v>DESIGN BUILD PROJECTS ONLY</v>
          </cell>
          <cell r="G7902">
            <v>0</v>
          </cell>
        </row>
        <row r="7903">
          <cell r="A7903" t="str">
            <v>880E99050</v>
          </cell>
          <cell r="B7903" t="str">
            <v>Y</v>
          </cell>
          <cell r="C7903" t="str">
            <v>LS</v>
          </cell>
          <cell r="D7903" t="str">
            <v>SPECIAL - ASPHALT PAVEMENT (7 YEAR WARRANTY)</v>
          </cell>
          <cell r="F7903" t="str">
            <v>DESIGN BUILD PROJECTS ONLY</v>
          </cell>
          <cell r="G7903">
            <v>0</v>
          </cell>
        </row>
        <row r="7904">
          <cell r="A7904" t="str">
            <v>881E10000</v>
          </cell>
          <cell r="C7904" t="str">
            <v>SY</v>
          </cell>
          <cell r="D7904" t="str">
            <v>MICROSURFACING WITH WARRANTY, SINGLE COURSE</v>
          </cell>
          <cell r="G7904">
            <v>0</v>
          </cell>
        </row>
        <row r="7905">
          <cell r="A7905" t="str">
            <v>881E10001</v>
          </cell>
          <cell r="C7905" t="str">
            <v>SY</v>
          </cell>
          <cell r="D7905" t="str">
            <v>MICROSURFACING WITH WARRANTY, SINGLE COURSE, AS PER PLAN</v>
          </cell>
          <cell r="G7905">
            <v>0</v>
          </cell>
        </row>
        <row r="7906">
          <cell r="A7906" t="str">
            <v>881E20000</v>
          </cell>
          <cell r="C7906" t="str">
            <v>SY</v>
          </cell>
          <cell r="D7906" t="str">
            <v>MICROSURFACING WITH WARRANTY, MULTIPLE COURSE</v>
          </cell>
          <cell r="G7906">
            <v>0</v>
          </cell>
        </row>
        <row r="7907">
          <cell r="A7907" t="str">
            <v>881E20001</v>
          </cell>
          <cell r="C7907" t="str">
            <v>SY</v>
          </cell>
          <cell r="D7907" t="str">
            <v>MICROSURFACING WITH WARRANTY, MULTIPLE COURSE, AS PER PLAN</v>
          </cell>
          <cell r="G7907">
            <v>0</v>
          </cell>
        </row>
        <row r="7908">
          <cell r="A7908" t="str">
            <v>882E10000</v>
          </cell>
          <cell r="C7908" t="str">
            <v>SY</v>
          </cell>
          <cell r="D7908" t="str">
            <v>SINGLE CHIP SEAL WITH TWO YEAR WARRANTY</v>
          </cell>
          <cell r="G7908">
            <v>0</v>
          </cell>
        </row>
        <row r="7909">
          <cell r="A7909" t="str">
            <v>882E10001</v>
          </cell>
          <cell r="C7909" t="str">
            <v>SY</v>
          </cell>
          <cell r="D7909" t="str">
            <v>SINGLE CHIP SEAL WITH TWO YEAR WARRANTY, AS PER PLAN</v>
          </cell>
          <cell r="G7909">
            <v>0</v>
          </cell>
        </row>
        <row r="7910">
          <cell r="A7910" t="str">
            <v>882E20000</v>
          </cell>
          <cell r="C7910" t="str">
            <v>SY</v>
          </cell>
          <cell r="D7910" t="str">
            <v>DOUBLE CHIP SEAL WITH TWO YEAR WARRANTY</v>
          </cell>
          <cell r="G7910">
            <v>0</v>
          </cell>
        </row>
        <row r="7911">
          <cell r="A7911" t="str">
            <v>882E20001</v>
          </cell>
          <cell r="C7911" t="str">
            <v>SY</v>
          </cell>
          <cell r="D7911" t="str">
            <v>DOUBLE CHIP SEAL WITH TWO YEAR WARRANTY, AS PER PLAN</v>
          </cell>
          <cell r="G7911">
            <v>0</v>
          </cell>
        </row>
        <row r="7912">
          <cell r="A7912" t="str">
            <v>882E98000</v>
          </cell>
          <cell r="C7912" t="str">
            <v>SY</v>
          </cell>
          <cell r="D7912" t="str">
            <v>CHIP SEAL, MISC.:</v>
          </cell>
          <cell r="F7912" t="str">
            <v>ADD SUPPLEMENTAL DESCRIPTION</v>
          </cell>
          <cell r="G7912">
            <v>1</v>
          </cell>
        </row>
        <row r="7913">
          <cell r="A7913" t="str">
            <v>883E00050</v>
          </cell>
          <cell r="C7913" t="str">
            <v>SF</v>
          </cell>
          <cell r="D7913" t="str">
            <v>SURFACE PREPARATION OF STRUCTURAL STEEL, WITH WARRANTY</v>
          </cell>
          <cell r="G7913">
            <v>0</v>
          </cell>
        </row>
        <row r="7914">
          <cell r="A7914" t="str">
            <v>883E00060</v>
          </cell>
          <cell r="C7914" t="str">
            <v>LS</v>
          </cell>
          <cell r="D7914" t="str">
            <v>SURFACE PREPARATION OF STRUCTURAL STEEL, WITH WARRANTY</v>
          </cell>
          <cell r="G7914">
            <v>0</v>
          </cell>
        </row>
        <row r="7915">
          <cell r="A7915" t="str">
            <v>883E00200</v>
          </cell>
          <cell r="C7915" t="str">
            <v>SF</v>
          </cell>
          <cell r="D7915" t="str">
            <v>FIELD METALLIZING OF STRUCTURAL STEEL, WITH WARRANTY</v>
          </cell>
          <cell r="G7915">
            <v>0</v>
          </cell>
        </row>
        <row r="7916">
          <cell r="A7916" t="str">
            <v>883E00210</v>
          </cell>
          <cell r="C7916" t="str">
            <v>LS</v>
          </cell>
          <cell r="D7916" t="str">
            <v>FIELD METALLIZING OF STRUCTURAL STEEL, WITH WARRANTY</v>
          </cell>
          <cell r="G7916">
            <v>0</v>
          </cell>
        </row>
        <row r="7917">
          <cell r="A7917" t="str">
            <v>883E00504</v>
          </cell>
          <cell r="C7917" t="str">
            <v>MNHR</v>
          </cell>
          <cell r="D7917" t="str">
            <v>GRINDING FINS, TEARS, SLIVERS ON STRUCTURAL STEEL</v>
          </cell>
          <cell r="G7917">
            <v>0</v>
          </cell>
        </row>
        <row r="7918">
          <cell r="A7918" t="str">
            <v>884E00500</v>
          </cell>
          <cell r="C7918" t="str">
            <v>SY</v>
          </cell>
          <cell r="D7918" t="str">
            <v>VARIABLE THICKNESS PORTLAND CEMENT CONCRETE PAVEMENT (7 YEAR WARRANTY)</v>
          </cell>
          <cell r="G7918">
            <v>0</v>
          </cell>
        </row>
        <row r="7919">
          <cell r="A7919" t="str">
            <v>884E10000</v>
          </cell>
          <cell r="C7919" t="str">
            <v>SY</v>
          </cell>
          <cell r="D7919" t="str">
            <v>8" PORTLAND CEMENT CONCRETE PAVEMENT (7 YEAR WARRANTY)</v>
          </cell>
          <cell r="G7919">
            <v>0</v>
          </cell>
        </row>
        <row r="7920">
          <cell r="A7920" t="str">
            <v>884E10050</v>
          </cell>
          <cell r="C7920" t="str">
            <v>SY</v>
          </cell>
          <cell r="D7920" t="str">
            <v>9" PORTLAND CEMENT CONCRETE PAVEMENT (7 YEAR WARRANTY)</v>
          </cell>
          <cell r="G7920">
            <v>0</v>
          </cell>
        </row>
        <row r="7921">
          <cell r="A7921" t="str">
            <v>884E10051</v>
          </cell>
          <cell r="C7921" t="str">
            <v>SY</v>
          </cell>
          <cell r="D7921" t="str">
            <v>9" PORTLAND CEMENT CONCRETE PAVEMENT (7 YEAR WARRANTY), AS PER PLAN</v>
          </cell>
          <cell r="G7921">
            <v>0</v>
          </cell>
        </row>
        <row r="7922">
          <cell r="A7922" t="str">
            <v>884E10080</v>
          </cell>
          <cell r="C7922" t="str">
            <v>SY</v>
          </cell>
          <cell r="D7922" t="str">
            <v>9.5" PORTLAND CEMENT CONCRETE PAVEMENT (7 YEAR WARRANTY)</v>
          </cell>
          <cell r="G7922">
            <v>0</v>
          </cell>
        </row>
        <row r="7923">
          <cell r="A7923" t="str">
            <v>884E10100</v>
          </cell>
          <cell r="C7923" t="str">
            <v>SY</v>
          </cell>
          <cell r="D7923" t="str">
            <v>10" PORTLAND CEMENT CONCRETE PAVEMENT (7 YEAR WARRANTY)</v>
          </cell>
          <cell r="G7923">
            <v>0</v>
          </cell>
        </row>
        <row r="7924">
          <cell r="A7924" t="str">
            <v>884E10150</v>
          </cell>
          <cell r="C7924" t="str">
            <v>SY</v>
          </cell>
          <cell r="D7924" t="str">
            <v>11" PORTLAND CEMENT CONCRETE PAVEMENT (7 YEAR WARRANTY)</v>
          </cell>
          <cell r="G7924">
            <v>0</v>
          </cell>
        </row>
        <row r="7925">
          <cell r="A7925" t="str">
            <v>884E10200</v>
          </cell>
          <cell r="C7925" t="str">
            <v>SY</v>
          </cell>
          <cell r="D7925" t="str">
            <v>12" PORTLAND CEMENT CONCRETE PAVEMENT (7 YEAR WARRANTY)</v>
          </cell>
          <cell r="G7925">
            <v>0</v>
          </cell>
        </row>
        <row r="7926">
          <cell r="A7926" t="str">
            <v>884E10201</v>
          </cell>
          <cell r="C7926" t="str">
            <v>SY</v>
          </cell>
          <cell r="D7926" t="str">
            <v>12" PORTLAND CEMENT CONCRETE PAVEMENT (7 YEAR WARRANTY), AS PER PLAN</v>
          </cell>
          <cell r="G7926">
            <v>0</v>
          </cell>
        </row>
        <row r="7927">
          <cell r="A7927" t="str">
            <v>884E10240</v>
          </cell>
          <cell r="C7927" t="str">
            <v>SY</v>
          </cell>
          <cell r="D7927" t="str">
            <v>12.5" PORTLAND CEMENT CONCRETE PAVEMENT (7 YEAR WARRANTY)</v>
          </cell>
          <cell r="G7927">
            <v>0</v>
          </cell>
        </row>
        <row r="7928">
          <cell r="A7928" t="str">
            <v>884E10250</v>
          </cell>
          <cell r="C7928" t="str">
            <v>SY</v>
          </cell>
          <cell r="D7928" t="str">
            <v>13" PORTLAND CEMENT CONCRETE PAVEMENT (7 YEAR WARRANTY)</v>
          </cell>
          <cell r="G7928">
            <v>0</v>
          </cell>
        </row>
        <row r="7929">
          <cell r="A7929" t="str">
            <v>884E10270</v>
          </cell>
          <cell r="C7929" t="str">
            <v>SY</v>
          </cell>
          <cell r="D7929" t="str">
            <v>13.5" PORTLAND CEMENT CONCRETE PAVEMENT (7 YEAR WARRANTY)</v>
          </cell>
          <cell r="G7929">
            <v>0</v>
          </cell>
        </row>
        <row r="7930">
          <cell r="A7930" t="str">
            <v>884E10300</v>
          </cell>
          <cell r="C7930" t="str">
            <v>SY</v>
          </cell>
          <cell r="D7930" t="str">
            <v>14" PORTLAND CEMENT CONCRETE PAVEMENT (7 YEAR WARRANTY)</v>
          </cell>
          <cell r="G7930">
            <v>0</v>
          </cell>
        </row>
        <row r="7931">
          <cell r="A7931" t="str">
            <v>884E10320</v>
          </cell>
          <cell r="C7931" t="str">
            <v>SY</v>
          </cell>
          <cell r="D7931" t="str">
            <v>14.5" PORTLAND CEMENT CONCRETE PAVEMENT (7 YEAR WARRANTY)</v>
          </cell>
          <cell r="G7931">
            <v>0</v>
          </cell>
        </row>
        <row r="7932">
          <cell r="A7932" t="str">
            <v>884E10321</v>
          </cell>
          <cell r="C7932" t="str">
            <v>SY</v>
          </cell>
          <cell r="D7932" t="str">
            <v>14.5" PORTLAND CEMENT CONCRETE PAVEMENT (7 YEAR WARRANTY), AS PER PLAN</v>
          </cell>
          <cell r="G7932">
            <v>0</v>
          </cell>
        </row>
        <row r="7933">
          <cell r="A7933" t="str">
            <v>884E10350</v>
          </cell>
          <cell r="C7933" t="str">
            <v>SY</v>
          </cell>
          <cell r="D7933" t="str">
            <v>15" PORTLAND CEMENT CONCRETE PAVEMENT (7 YEAR WARRANTY)</v>
          </cell>
          <cell r="G7933">
            <v>0</v>
          </cell>
        </row>
        <row r="7934">
          <cell r="A7934" t="str">
            <v>884E80000</v>
          </cell>
          <cell r="C7934" t="str">
            <v>SY</v>
          </cell>
          <cell r="D7934" t="str">
            <v>PORTLAND CEMENT CONCRETE PAVEMENT (7 YEAR WARRANTY), MISC.:</v>
          </cell>
          <cell r="F7934" t="str">
            <v>SPECIFY THICKNESS</v>
          </cell>
          <cell r="G7934">
            <v>1</v>
          </cell>
        </row>
        <row r="7935">
          <cell r="A7935" t="str">
            <v>884E99000</v>
          </cell>
          <cell r="B7935" t="str">
            <v>Y</v>
          </cell>
          <cell r="C7935" t="str">
            <v>LS</v>
          </cell>
          <cell r="D7935" t="str">
            <v>SPECIAL - PORTLAND CEMENT CONCRETE PAVEMENT (7 YEAR WARRANTY)</v>
          </cell>
          <cell r="F7935" t="str">
            <v>DESIGN BUILD PROJECTS ONLY</v>
          </cell>
          <cell r="G7935">
            <v>0</v>
          </cell>
        </row>
        <row r="7936">
          <cell r="A7936" t="str">
            <v>885E00050</v>
          </cell>
          <cell r="C7936" t="str">
            <v>SF</v>
          </cell>
          <cell r="D7936" t="str">
            <v>SURFACE PREPARATION OF EXISTING STRUCTURAL STEEL, WITH WARRANTY</v>
          </cell>
          <cell r="G7936">
            <v>0</v>
          </cell>
        </row>
        <row r="7937">
          <cell r="A7937" t="str">
            <v>885E00051</v>
          </cell>
          <cell r="C7937" t="str">
            <v>SF</v>
          </cell>
          <cell r="D7937" t="str">
            <v>SURFACE PREPARATION OF EXISTING STRUCTURAL STEEL, WITH WARRANTY, AS PER PLAN</v>
          </cell>
          <cell r="G7937">
            <v>0</v>
          </cell>
        </row>
        <row r="7938">
          <cell r="A7938" t="str">
            <v>885E00056</v>
          </cell>
          <cell r="C7938" t="str">
            <v>SF</v>
          </cell>
          <cell r="D7938" t="str">
            <v>FIELD PAINTING OF EXISTING STRUCTURAL STEEL, PRIME COAT, WITH WARRANTY</v>
          </cell>
          <cell r="G7938">
            <v>0</v>
          </cell>
        </row>
        <row r="7939">
          <cell r="A7939" t="str">
            <v>885E00057</v>
          </cell>
          <cell r="C7939" t="str">
            <v>SF</v>
          </cell>
          <cell r="D7939" t="str">
            <v>FIELD PAINTING OF EXISTING STRUCTURAL STEEL, PRIME COAT, WITH WARRANTY, AS PER PLAN</v>
          </cell>
          <cell r="G7939">
            <v>0</v>
          </cell>
        </row>
        <row r="7940">
          <cell r="A7940" t="str">
            <v>885E00060</v>
          </cell>
          <cell r="C7940" t="str">
            <v>SF</v>
          </cell>
          <cell r="D7940" t="str">
            <v>FIELD PAINTING STRUCTURAL STEEL, INTERMEDIATE COAT, WITH WARRANTY</v>
          </cell>
          <cell r="G7940">
            <v>0</v>
          </cell>
        </row>
        <row r="7941">
          <cell r="A7941" t="str">
            <v>885E00061</v>
          </cell>
          <cell r="C7941" t="str">
            <v>SF</v>
          </cell>
          <cell r="D7941" t="str">
            <v>FIELD PAINTING OF EXISTING STRUCTURAL STEEL, INTERMEDIATE COAT, WITH WARRANTY, AS PER PLAN</v>
          </cell>
          <cell r="G7941">
            <v>0</v>
          </cell>
        </row>
        <row r="7942">
          <cell r="A7942" t="str">
            <v>885E00066</v>
          </cell>
          <cell r="C7942" t="str">
            <v>SF</v>
          </cell>
          <cell r="D7942" t="str">
            <v>FIELD PAINTING STRUCTURAL STEEL, FINISH COAT, WITH WARRANTY</v>
          </cell>
          <cell r="G7942">
            <v>0</v>
          </cell>
        </row>
        <row r="7943">
          <cell r="A7943" t="str">
            <v>885E00067</v>
          </cell>
          <cell r="C7943" t="str">
            <v>SF</v>
          </cell>
          <cell r="D7943" t="str">
            <v>FIELD PAINTING STRUCTURAL STEEL, FINISH COAT, WITH WARRANTY, AS PER PLAN</v>
          </cell>
          <cell r="G7943">
            <v>0</v>
          </cell>
        </row>
        <row r="7944">
          <cell r="A7944" t="str">
            <v>885E00100</v>
          </cell>
          <cell r="C7944" t="str">
            <v>LS</v>
          </cell>
          <cell r="D7944" t="str">
            <v>SURFACE PREPARATION OF EXISTING STRUCTURAL STEEL, WITH WARRANTY</v>
          </cell>
          <cell r="G7944">
            <v>0</v>
          </cell>
        </row>
        <row r="7945">
          <cell r="A7945" t="str">
            <v>885E00200</v>
          </cell>
          <cell r="C7945" t="str">
            <v>LS</v>
          </cell>
          <cell r="D7945" t="str">
            <v>FIELD PAINTING OF EXISTING STRUCTURAL STEEL, PRIME COAT, WITH WARRANTY</v>
          </cell>
          <cell r="G7945">
            <v>0</v>
          </cell>
        </row>
        <row r="7946">
          <cell r="A7946" t="str">
            <v>885E00300</v>
          </cell>
          <cell r="C7946" t="str">
            <v>LS</v>
          </cell>
          <cell r="D7946" t="str">
            <v>FIELD PAINTING STRUCTURAL STEEL, INTERMEDIATE COAT, WITH WARRANTY</v>
          </cell>
          <cell r="G7946">
            <v>0</v>
          </cell>
        </row>
        <row r="7947">
          <cell r="A7947" t="str">
            <v>885E00400</v>
          </cell>
          <cell r="C7947" t="str">
            <v>LS</v>
          </cell>
          <cell r="D7947" t="str">
            <v>FIELD PAINTING STRUCTURAL STEEL, FINISH COAT, WITH WARRANTY</v>
          </cell>
          <cell r="G7947">
            <v>0</v>
          </cell>
        </row>
        <row r="7948">
          <cell r="A7948" t="str">
            <v>885E00504</v>
          </cell>
          <cell r="C7948" t="str">
            <v>MNHR</v>
          </cell>
          <cell r="D7948" t="str">
            <v>GRINDING FINS, TEARS, SLIVERS ON EXISTING STRUCTURAL STEEL</v>
          </cell>
          <cell r="G7948">
            <v>0</v>
          </cell>
        </row>
        <row r="7949">
          <cell r="A7949" t="str">
            <v>885E00800</v>
          </cell>
          <cell r="C7949" t="str">
            <v>LB</v>
          </cell>
          <cell r="D7949" t="str">
            <v>FIELD PAINTING STRUCTURAL STEEL, INTERMEDIATE COAT, WITH WARRANTY</v>
          </cell>
          <cell r="G7949">
            <v>0</v>
          </cell>
        </row>
        <row r="7950">
          <cell r="A7950" t="str">
            <v>885E00850</v>
          </cell>
          <cell r="C7950" t="str">
            <v>LB</v>
          </cell>
          <cell r="D7950" t="str">
            <v>FIELD PAINTING STRUCTURAL STEEL, FINISH COAT, WITH WARRANTY</v>
          </cell>
          <cell r="G7950">
            <v>0</v>
          </cell>
        </row>
        <row r="7951">
          <cell r="A7951" t="str">
            <v>885E10000</v>
          </cell>
          <cell r="C7951" t="str">
            <v>EACH</v>
          </cell>
          <cell r="D7951" t="str">
            <v>FINAL INSPECTION REPAIR</v>
          </cell>
          <cell r="G7951">
            <v>0</v>
          </cell>
        </row>
        <row r="7952">
          <cell r="A7952" t="str">
            <v>885E90000</v>
          </cell>
          <cell r="C7952" t="str">
            <v>SF</v>
          </cell>
          <cell r="D7952" t="str">
            <v>FIELD PAINTING, MISC.:</v>
          </cell>
          <cell r="F7952" t="str">
            <v>ADD SUPPLEMENTAL DESCRIPTION</v>
          </cell>
          <cell r="G7952">
            <v>1</v>
          </cell>
        </row>
        <row r="7953">
          <cell r="A7953" t="str">
            <v>885E90010</v>
          </cell>
          <cell r="C7953" t="str">
            <v>LS</v>
          </cell>
          <cell r="D7953" t="str">
            <v>FIELD PAINTING, MISC.:</v>
          </cell>
          <cell r="F7953" t="str">
            <v>ADD SUPPLEMENTAL DESCRIPTION</v>
          </cell>
          <cell r="G7953">
            <v>1</v>
          </cell>
        </row>
        <row r="7954">
          <cell r="A7954" t="str">
            <v>885E90020</v>
          </cell>
          <cell r="C7954" t="str">
            <v>FT</v>
          </cell>
          <cell r="D7954" t="str">
            <v>FIELD PAINTING, MISC.:</v>
          </cell>
          <cell r="F7954" t="str">
            <v>ADD SUPPLEMENTAL DESCRIPTION</v>
          </cell>
          <cell r="G7954">
            <v>1</v>
          </cell>
        </row>
        <row r="7955">
          <cell r="A7955" t="str">
            <v>886E10000</v>
          </cell>
          <cell r="C7955" t="str">
            <v>SY</v>
          </cell>
          <cell r="D7955" t="str">
            <v>HOT IN-PLACE RECYCLING WITH WARRANTY</v>
          </cell>
          <cell r="G7955">
            <v>0</v>
          </cell>
        </row>
        <row r="7956">
          <cell r="A7956" t="str">
            <v>892E10200</v>
          </cell>
          <cell r="C7956" t="str">
            <v>CY</v>
          </cell>
          <cell r="D7956" t="str">
            <v>QC/QA CONCRETE, CLASS QSC2, SUPERSTRUCTURE (DECK) WITH WARRANTY</v>
          </cell>
          <cell r="G7956">
            <v>0</v>
          </cell>
        </row>
        <row r="7957">
          <cell r="A7957" t="str">
            <v>892E10201</v>
          </cell>
          <cell r="C7957" t="str">
            <v>CY</v>
          </cell>
          <cell r="D7957" t="str">
            <v>QC/QA CONCRETE, CLASS QSC2, SUPERSTRUCTURE (DECK) WITH WARRANTY, AS PER PLAN</v>
          </cell>
          <cell r="G7957">
            <v>0</v>
          </cell>
        </row>
        <row r="7958">
          <cell r="A7958" t="str">
            <v>892E10400</v>
          </cell>
          <cell r="C7958" t="str">
            <v>CY</v>
          </cell>
          <cell r="D7958" t="str">
            <v>QC/QA CONCRETE, CLASS QSC3, SUPERSTRUCTURE (DECK) WITH WARRANTY</v>
          </cell>
          <cell r="G7958">
            <v>0</v>
          </cell>
        </row>
        <row r="7959">
          <cell r="A7959" t="str">
            <v>892E10600</v>
          </cell>
          <cell r="C7959" t="str">
            <v>SY</v>
          </cell>
          <cell r="D7959" t="str">
            <v>QC/QA CONCRETE, CLASS QSC2, SUPERSTRUCTURE (DECK) WITH WARRANTY</v>
          </cell>
          <cell r="G7959">
            <v>0</v>
          </cell>
        </row>
        <row r="7960">
          <cell r="A7960" t="str">
            <v>892E10800</v>
          </cell>
          <cell r="C7960" t="str">
            <v>SY</v>
          </cell>
          <cell r="D7960" t="str">
            <v>QC/QA CONCRETE, CLASS QSC3, SUPERSTRUCTURE (DECK) WITH WARRANTY</v>
          </cell>
          <cell r="G7960">
            <v>0</v>
          </cell>
        </row>
        <row r="7961">
          <cell r="A7961" t="str">
            <v>895E10010</v>
          </cell>
          <cell r="C7961" t="str">
            <v>EACH</v>
          </cell>
          <cell r="D7961" t="str">
            <v>MANUFACTURED WATER QUALITY STRUCTURE, TYPE 1</v>
          </cell>
          <cell r="G7961">
            <v>0</v>
          </cell>
        </row>
        <row r="7962">
          <cell r="A7962" t="str">
            <v>895E10011</v>
          </cell>
          <cell r="C7962" t="str">
            <v>EACH</v>
          </cell>
          <cell r="D7962" t="str">
            <v>MANUFACTURED WATER QUALITY STRUCTURE, TYPE 1, AS PER PLAN</v>
          </cell>
          <cell r="G7962">
            <v>0</v>
          </cell>
        </row>
        <row r="7963">
          <cell r="A7963" t="str">
            <v>895E10020</v>
          </cell>
          <cell r="C7963" t="str">
            <v>EACH</v>
          </cell>
          <cell r="D7963" t="str">
            <v>MANUFACTURED WATER QUALITY STRUCTURE, TYPE 2</v>
          </cell>
          <cell r="G7963">
            <v>0</v>
          </cell>
        </row>
        <row r="7964">
          <cell r="A7964" t="str">
            <v>895E10021</v>
          </cell>
          <cell r="C7964" t="str">
            <v>EACH</v>
          </cell>
          <cell r="D7964" t="str">
            <v>MANUFACTURED WATER QUALITY STRUCTURE, TYPE 2, AS PER PLAN</v>
          </cell>
          <cell r="G7964">
            <v>0</v>
          </cell>
        </row>
        <row r="7965">
          <cell r="A7965" t="str">
            <v>895E10030</v>
          </cell>
          <cell r="C7965" t="str">
            <v>EACH</v>
          </cell>
          <cell r="D7965" t="str">
            <v>MANUFACTURED WATER QUALITY STRUCTURE, TYPE 3</v>
          </cell>
          <cell r="G7965">
            <v>0</v>
          </cell>
        </row>
        <row r="7966">
          <cell r="A7966" t="str">
            <v>895E10040</v>
          </cell>
          <cell r="C7966" t="str">
            <v>EACH</v>
          </cell>
          <cell r="D7966" t="str">
            <v>MANUFACTURED WATER QUALITY STRUCTURE, TYPE 4</v>
          </cell>
          <cell r="G7966">
            <v>0</v>
          </cell>
        </row>
        <row r="7967">
          <cell r="A7967" t="str">
            <v>897E01010</v>
          </cell>
          <cell r="C7967" t="str">
            <v>SY</v>
          </cell>
          <cell r="D7967" t="str">
            <v>PAVEMENT PLANING, ASPHALT CONCRETE, CLASS A</v>
          </cell>
          <cell r="G7967">
            <v>0</v>
          </cell>
        </row>
        <row r="7968">
          <cell r="A7968" t="str">
            <v>897E01011</v>
          </cell>
          <cell r="C7968" t="str">
            <v>SY</v>
          </cell>
          <cell r="D7968" t="str">
            <v>PAVEMENT PLANING, ASPHALT CONCRETE, CLASS A, AS PER PLAN</v>
          </cell>
          <cell r="G7968">
            <v>0</v>
          </cell>
        </row>
        <row r="7969">
          <cell r="A7969" t="str">
            <v>897E01020</v>
          </cell>
          <cell r="C7969" t="str">
            <v>SY</v>
          </cell>
          <cell r="D7969" t="str">
            <v>PAVEMENT PLANING, ASPHALT CONCRETE, CLASS B</v>
          </cell>
          <cell r="G7969">
            <v>0</v>
          </cell>
        </row>
        <row r="7970">
          <cell r="A7970" t="str">
            <v>897E02000</v>
          </cell>
          <cell r="C7970" t="str">
            <v>SY</v>
          </cell>
          <cell r="D7970" t="str">
            <v>PATCHING PLANED SURFACE</v>
          </cell>
          <cell r="G7970">
            <v>0</v>
          </cell>
        </row>
        <row r="7971">
          <cell r="A7971" t="str">
            <v>900E01000</v>
          </cell>
          <cell r="B7971" t="str">
            <v>Y</v>
          </cell>
          <cell r="C7971" t="str">
            <v>MILE</v>
          </cell>
          <cell r="D7971" t="str">
            <v>SPECIAL - RAIL ITEM, MISC.:</v>
          </cell>
          <cell r="F7971" t="str">
            <v>ADD SUPPLEMENTAL DESCRIPTION</v>
          </cell>
          <cell r="G7971">
            <v>1</v>
          </cell>
        </row>
        <row r="7972">
          <cell r="A7972" t="str">
            <v>900E10000</v>
          </cell>
          <cell r="B7972" t="str">
            <v>Y</v>
          </cell>
          <cell r="C7972" t="str">
            <v>FT</v>
          </cell>
          <cell r="D7972" t="str">
            <v>SPECIAL - RAIL ITEM, MISC.:</v>
          </cell>
          <cell r="F7972" t="str">
            <v>ADD SUPPLEMENTAL DESCRIPTION</v>
          </cell>
          <cell r="G7972">
            <v>1</v>
          </cell>
        </row>
        <row r="7973">
          <cell r="A7973" t="str">
            <v>900E11000</v>
          </cell>
          <cell r="B7973" t="str">
            <v>Y</v>
          </cell>
          <cell r="C7973" t="str">
            <v>EACH</v>
          </cell>
          <cell r="D7973" t="str">
            <v>SPECIAL - RAIL ITEM, MISC.:</v>
          </cell>
          <cell r="F7973" t="str">
            <v>ADD SUPPLEMENTAL DESCRIPTION</v>
          </cell>
          <cell r="G7973">
            <v>1</v>
          </cell>
        </row>
        <row r="7974">
          <cell r="A7974" t="str">
            <v>900E12000</v>
          </cell>
          <cell r="B7974" t="str">
            <v>Y</v>
          </cell>
          <cell r="C7974" t="str">
            <v>TKFT</v>
          </cell>
          <cell r="D7974" t="str">
            <v>SPECIAL - RAIL ITEM, MISC.:</v>
          </cell>
          <cell r="F7974" t="str">
            <v>ADD SUPPLEMENTAL DESCRIPTION</v>
          </cell>
          <cell r="G7974">
            <v>1</v>
          </cell>
        </row>
        <row r="7975">
          <cell r="A7975" t="str">
            <v>900E13000</v>
          </cell>
          <cell r="B7975" t="str">
            <v>Y</v>
          </cell>
          <cell r="C7975" t="str">
            <v>PAIR</v>
          </cell>
          <cell r="D7975" t="str">
            <v>SPECIAL - RAIL ITEM, MISC.:</v>
          </cell>
          <cell r="F7975" t="str">
            <v>ADD SUPPLEMENTAL DESCRIPTION</v>
          </cell>
          <cell r="G7975">
            <v>1</v>
          </cell>
        </row>
        <row r="7976">
          <cell r="A7976" t="str">
            <v>900E14000</v>
          </cell>
          <cell r="B7976" t="str">
            <v>Y</v>
          </cell>
          <cell r="C7976" t="str">
            <v>JT</v>
          </cell>
          <cell r="D7976" t="str">
            <v>SPECIAL - RAIL ITEM, MISC.:</v>
          </cell>
          <cell r="F7976" t="str">
            <v>ADD SUPPLEMENTAL DESCRIPTION</v>
          </cell>
          <cell r="G7976">
            <v>1</v>
          </cell>
        </row>
        <row r="7977">
          <cell r="A7977" t="str">
            <v>900E15000</v>
          </cell>
          <cell r="B7977" t="str">
            <v>Y</v>
          </cell>
          <cell r="C7977" t="str">
            <v>SET</v>
          </cell>
          <cell r="D7977" t="str">
            <v>SPECIAL - RAIL ITEM, MISC.:</v>
          </cell>
          <cell r="F7977" t="str">
            <v>ADD SUPPLEMENTAL DESCRIPTION</v>
          </cell>
          <cell r="G7977">
            <v>1</v>
          </cell>
        </row>
        <row r="7978">
          <cell r="A7978" t="str">
            <v>900E16000</v>
          </cell>
          <cell r="B7978" t="str">
            <v>Y</v>
          </cell>
          <cell r="C7978" t="str">
            <v>TON</v>
          </cell>
          <cell r="D7978" t="str">
            <v>SPECIAL - RAIL ITEM, MISC.:</v>
          </cell>
          <cell r="F7978" t="str">
            <v>ADD SUPPLEMENTAL DESCRIPTION</v>
          </cell>
          <cell r="G7978">
            <v>1</v>
          </cell>
        </row>
        <row r="7979">
          <cell r="A7979" t="str">
            <v>900E17000</v>
          </cell>
          <cell r="B7979" t="str">
            <v>Y</v>
          </cell>
          <cell r="C7979" t="str">
            <v>LS</v>
          </cell>
          <cell r="D7979" t="str">
            <v>SPECIAL - RAIL ITEM, MISC.:</v>
          </cell>
          <cell r="F7979" t="str">
            <v>ADD SUPPLEMENTAL DESCRIPTION</v>
          </cell>
          <cell r="G7979">
            <v>1</v>
          </cell>
        </row>
        <row r="7980">
          <cell r="A7980" t="str">
            <v>900E18000</v>
          </cell>
          <cell r="B7980" t="str">
            <v>Y</v>
          </cell>
          <cell r="C7980" t="str">
            <v>KEG</v>
          </cell>
          <cell r="D7980" t="str">
            <v>SPECIAL - RAIL ITEM, MISC.:</v>
          </cell>
          <cell r="F7980" t="str">
            <v>ADD SUPPLEMENTAL DESCRIPTION</v>
          </cell>
          <cell r="G7980">
            <v>1</v>
          </cell>
        </row>
        <row r="7981">
          <cell r="A7981" t="str">
            <v>900E19000</v>
          </cell>
          <cell r="B7981" t="str">
            <v>Y</v>
          </cell>
          <cell r="C7981" t="str">
            <v>CY</v>
          </cell>
          <cell r="D7981" t="str">
            <v>SPECIAL - RAIL ITEM, MISC.:</v>
          </cell>
          <cell r="F7981" t="str">
            <v>ADD SUPPLEMENTAL DESCRIPTION</v>
          </cell>
          <cell r="G7981">
            <v>1</v>
          </cell>
        </row>
        <row r="7982">
          <cell r="A7982" t="str">
            <v>900E20000</v>
          </cell>
          <cell r="B7982" t="str">
            <v>Y</v>
          </cell>
          <cell r="C7982" t="str">
            <v>SY</v>
          </cell>
          <cell r="D7982" t="str">
            <v>SPECIAL - RAIL ITEM, MISC.:</v>
          </cell>
          <cell r="F7982" t="str">
            <v>ADD SUPPLEMENTAL DESCRIPTION</v>
          </cell>
          <cell r="G7982">
            <v>1</v>
          </cell>
        </row>
        <row r="7983">
          <cell r="A7983" t="str">
            <v>900E21000</v>
          </cell>
          <cell r="B7983" t="str">
            <v>Y</v>
          </cell>
          <cell r="C7983" t="str">
            <v>BNDL</v>
          </cell>
          <cell r="D7983" t="str">
            <v>SPECIAL - RAIL ITEM, MISC.:</v>
          </cell>
          <cell r="F7983" t="str">
            <v>ADD SUPPLEMENTAL DESCRIPTION</v>
          </cell>
          <cell r="G7983">
            <v>1</v>
          </cell>
        </row>
        <row r="7984">
          <cell r="A7984" t="str">
            <v>900E22000</v>
          </cell>
          <cell r="B7984" t="str">
            <v>Y</v>
          </cell>
          <cell r="C7984" t="str">
            <v>LB</v>
          </cell>
          <cell r="D7984" t="str">
            <v>SPECIAL - RAIL ITEM, MISC.:</v>
          </cell>
          <cell r="F7984" t="str">
            <v>ADD SUPPLEMENTAL DESCRIPTION</v>
          </cell>
          <cell r="G7984">
            <v>1</v>
          </cell>
        </row>
        <row r="7985">
          <cell r="A7985" t="str">
            <v>950E10000</v>
          </cell>
          <cell r="B7985" t="str">
            <v>Y</v>
          </cell>
          <cell r="C7985" t="str">
            <v>LS</v>
          </cell>
          <cell r="D7985" t="str">
            <v>SPECIAL - SALT SHED DEMOLISHED</v>
          </cell>
          <cell r="G7985">
            <v>0</v>
          </cell>
        </row>
        <row r="7986">
          <cell r="A7986" t="str">
            <v>950E14000</v>
          </cell>
          <cell r="B7986" t="str">
            <v>Y</v>
          </cell>
          <cell r="C7986" t="str">
            <v>EACH</v>
          </cell>
          <cell r="D7986" t="str">
            <v>SPECIAL - SALT DOME CONSTRUCTED, 51'</v>
          </cell>
          <cell r="G7986">
            <v>0</v>
          </cell>
        </row>
        <row r="7987">
          <cell r="A7987" t="str">
            <v>950E14010</v>
          </cell>
          <cell r="B7987" t="str">
            <v>Y</v>
          </cell>
          <cell r="C7987" t="str">
            <v>EACH</v>
          </cell>
          <cell r="D7987" t="str">
            <v>SPECIAL - SALT DOME CONSTRUCTED, 56'</v>
          </cell>
          <cell r="G7987">
            <v>0</v>
          </cell>
        </row>
        <row r="7988">
          <cell r="A7988" t="str">
            <v>950E15000</v>
          </cell>
          <cell r="B7988" t="str">
            <v>Y</v>
          </cell>
          <cell r="C7988" t="str">
            <v>EACH</v>
          </cell>
          <cell r="D7988" t="str">
            <v>SPECIAL - SALT DOME CONSTRUCTED, 62'</v>
          </cell>
          <cell r="G7988">
            <v>0</v>
          </cell>
        </row>
        <row r="7989">
          <cell r="A7989" t="str">
            <v>950E16000</v>
          </cell>
          <cell r="B7989" t="str">
            <v>Y</v>
          </cell>
          <cell r="C7989" t="str">
            <v>EACH</v>
          </cell>
          <cell r="D7989" t="str">
            <v>SPECIAL - SALT DOME CONSTRUCTED, 61'</v>
          </cell>
          <cell r="G7989">
            <v>0</v>
          </cell>
        </row>
        <row r="7990">
          <cell r="A7990" t="str">
            <v>950E20000</v>
          </cell>
          <cell r="B7990" t="str">
            <v>Y</v>
          </cell>
          <cell r="C7990" t="str">
            <v>EACH</v>
          </cell>
          <cell r="D7990" t="str">
            <v>SPECIAL - SALT DOME CONSTRUCTED, 72'</v>
          </cell>
          <cell r="G7990">
            <v>0</v>
          </cell>
        </row>
        <row r="7991">
          <cell r="A7991" t="str">
            <v>950E20010</v>
          </cell>
          <cell r="B7991" t="str">
            <v>Y</v>
          </cell>
          <cell r="C7991" t="str">
            <v>EACH</v>
          </cell>
          <cell r="D7991" t="str">
            <v>SPECIAL - SALT DOME CONSTRUCTED, 82'</v>
          </cell>
          <cell r="G7991">
            <v>0</v>
          </cell>
        </row>
        <row r="7992">
          <cell r="A7992" t="str">
            <v>950E30000</v>
          </cell>
          <cell r="B7992" t="str">
            <v>Y</v>
          </cell>
          <cell r="C7992" t="str">
            <v>EACH</v>
          </cell>
          <cell r="D7992" t="str">
            <v>SPECIAL - SALT DOME CONSTRUCTED, 100'</v>
          </cell>
          <cell r="G7992">
            <v>0</v>
          </cell>
        </row>
        <row r="7993">
          <cell r="A7993" t="str">
            <v>950E35000</v>
          </cell>
          <cell r="B7993" t="str">
            <v>Y</v>
          </cell>
          <cell r="C7993" t="str">
            <v>LS</v>
          </cell>
          <cell r="D7993" t="str">
            <v>SPECIAL - ROOF REPLACEMENT</v>
          </cell>
          <cell r="G7993">
            <v>0</v>
          </cell>
        </row>
        <row r="7994">
          <cell r="A7994" t="str">
            <v>950E40000</v>
          </cell>
          <cell r="B7994" t="str">
            <v>Y</v>
          </cell>
          <cell r="C7994" t="str">
            <v>EACH</v>
          </cell>
          <cell r="D7994" t="str">
            <v>SPECIAL - MANUFACTURED OFFICE, 44'</v>
          </cell>
          <cell r="G7994">
            <v>0</v>
          </cell>
        </row>
        <row r="7995">
          <cell r="A7995" t="str">
            <v>950E50000</v>
          </cell>
          <cell r="B7995" t="str">
            <v>Y</v>
          </cell>
          <cell r="C7995" t="str">
            <v>LS</v>
          </cell>
          <cell r="D7995" t="str">
            <v>SPECIAL - FACILITIES, MISC.:</v>
          </cell>
          <cell r="F7995" t="str">
            <v>ADD SUPPLEMENTAL DESCRIPTION</v>
          </cell>
          <cell r="G7995">
            <v>1</v>
          </cell>
        </row>
        <row r="7996">
          <cell r="A7996" t="str">
            <v>950E51000</v>
          </cell>
          <cell r="B7996" t="str">
            <v>Y</v>
          </cell>
          <cell r="C7996" t="str">
            <v>EACH</v>
          </cell>
          <cell r="D7996" t="str">
            <v>SPECIAL - FACILITIES, MISC.:</v>
          </cell>
          <cell r="F7996" t="str">
            <v>ADD SUPPLEMENTAL DESCRIPTION</v>
          </cell>
          <cell r="G7996">
            <v>1</v>
          </cell>
        </row>
        <row r="7997">
          <cell r="A7997" t="str">
            <v>990E10000</v>
          </cell>
          <cell r="C7997" t="str">
            <v>LS</v>
          </cell>
          <cell r="D7997" t="str">
            <v>ESTIMATED COST OF REPAIRS TO DETOUR</v>
          </cell>
          <cell r="F7997" t="str">
            <v>ODOT INTERNAL USE ONLY</v>
          </cell>
          <cell r="G7997">
            <v>0</v>
          </cell>
        </row>
        <row r="7998">
          <cell r="A7998" t="str">
            <v>990E10010</v>
          </cell>
          <cell r="C7998" t="str">
            <v>LS</v>
          </cell>
          <cell r="D7998" t="str">
            <v>ESTIMATED COST OF RIGHT OF WAY</v>
          </cell>
          <cell r="F7998" t="str">
            <v>ODOT INTERNAL USE ONLY</v>
          </cell>
          <cell r="G7998">
            <v>0</v>
          </cell>
        </row>
        <row r="7999">
          <cell r="A7999" t="str">
            <v>990E10020</v>
          </cell>
          <cell r="C7999" t="str">
            <v>LS</v>
          </cell>
          <cell r="D7999" t="str">
            <v>ESTIMATED COST OF ENGINEERING, SUPERINTENDENCE AND CONTINGENCIES</v>
          </cell>
          <cell r="F7999" t="str">
            <v>ODOT INTERNAL USE ONLY</v>
          </cell>
          <cell r="G7999">
            <v>0</v>
          </cell>
        </row>
        <row r="8000">
          <cell r="A8000" t="str">
            <v>990E10030</v>
          </cell>
          <cell r="C8000" t="str">
            <v>LS</v>
          </cell>
          <cell r="D8000" t="str">
            <v>ESTIMATED COST OF PRELIMINARY ENGINEERING</v>
          </cell>
          <cell r="F8000" t="str">
            <v>ODOT INTERNAL USE ONLY</v>
          </cell>
          <cell r="G8000">
            <v>0</v>
          </cell>
        </row>
        <row r="8001">
          <cell r="A8001" t="str">
            <v>990E10040</v>
          </cell>
          <cell r="C8001" t="str">
            <v>LS</v>
          </cell>
          <cell r="D8001" t="str">
            <v>ESTIMATED COST OF FORCE ACCOUNT WORK</v>
          </cell>
          <cell r="F8001" t="str">
            <v>ODOT INTERNAL USE ONLY</v>
          </cell>
          <cell r="G8001">
            <v>0</v>
          </cell>
        </row>
        <row r="8002">
          <cell r="A8002" t="str">
            <v>990E10500</v>
          </cell>
          <cell r="C8002" t="str">
            <v>LS</v>
          </cell>
          <cell r="D8002" t="str">
            <v>ESTIMATED COST OF INCENTIVE/DISINCENTIVE PAYMENT</v>
          </cell>
          <cell r="F8002" t="str">
            <v>ODOT INTERNAL USE ONLY</v>
          </cell>
          <cell r="G8002">
            <v>0</v>
          </cell>
        </row>
        <row r="8003">
          <cell r="A8003" t="str">
            <v>990E20000</v>
          </cell>
          <cell r="C8003" t="str">
            <v>LS</v>
          </cell>
          <cell r="D8003" t="str">
            <v>FORCE ACCOUNT</v>
          </cell>
          <cell r="F8003" t="str">
            <v>FOR CMS USE ONLY</v>
          </cell>
          <cell r="G8003">
            <v>0</v>
          </cell>
        </row>
        <row r="8004">
          <cell r="A8004" t="str">
            <v>990E20010</v>
          </cell>
          <cell r="C8004" t="str">
            <v>LS</v>
          </cell>
          <cell r="D8004" t="str">
            <v>DIFFERENCE BETWEEN ESTIMATED AND ACTUAL COST OF FORCE ACCOUNT</v>
          </cell>
          <cell r="F8004" t="str">
            <v>FOR CMS USE ONLY</v>
          </cell>
          <cell r="G8004">
            <v>0</v>
          </cell>
        </row>
        <row r="8005">
          <cell r="A8005" t="str">
            <v>990E21000</v>
          </cell>
          <cell r="C8005" t="str">
            <v>DLR</v>
          </cell>
          <cell r="D8005" t="str">
            <v>INTEREST PAYMENTS</v>
          </cell>
          <cell r="F8005" t="str">
            <v>FOR CMS USE ONLY</v>
          </cell>
          <cell r="G8005">
            <v>0</v>
          </cell>
        </row>
        <row r="8006">
          <cell r="A8006" t="str">
            <v>990E24000</v>
          </cell>
          <cell r="C8006" t="str">
            <v>LS</v>
          </cell>
          <cell r="D8006" t="str">
            <v>BITUMINOUS PRICE ADJUSTMENT</v>
          </cell>
          <cell r="F8006" t="str">
            <v>FOR CMS USE ONLY</v>
          </cell>
          <cell r="G8006">
            <v>0</v>
          </cell>
        </row>
        <row r="8007">
          <cell r="A8007" t="str">
            <v>990E24100</v>
          </cell>
          <cell r="C8007" t="str">
            <v>LS</v>
          </cell>
          <cell r="D8007" t="str">
            <v>446 ADJUSTMENT</v>
          </cell>
          <cell r="F8007" t="str">
            <v>FOR CMS USE ONLY</v>
          </cell>
          <cell r="G8007">
            <v>0</v>
          </cell>
        </row>
        <row r="8008">
          <cell r="A8008" t="str">
            <v>990E24200</v>
          </cell>
          <cell r="C8008" t="str">
            <v>LS</v>
          </cell>
          <cell r="D8008" t="str">
            <v>448 ADJUSTMENT</v>
          </cell>
          <cell r="F8008" t="str">
            <v>FOR CMS USE ONLY</v>
          </cell>
          <cell r="G8008">
            <v>0</v>
          </cell>
        </row>
        <row r="8009">
          <cell r="A8009" t="str">
            <v>990E24300</v>
          </cell>
          <cell r="C8009" t="str">
            <v>LS</v>
          </cell>
          <cell r="D8009" t="str">
            <v>SMOOTHNESS</v>
          </cell>
          <cell r="F8009" t="str">
            <v>FOR CMS USE ONLY</v>
          </cell>
          <cell r="G8009">
            <v>0</v>
          </cell>
        </row>
        <row r="8010">
          <cell r="A8010" t="str">
            <v>990E24400</v>
          </cell>
          <cell r="C8010" t="str">
            <v>LS</v>
          </cell>
          <cell r="D8010" t="str">
            <v>STEEL PRICE ADJUSTMENT</v>
          </cell>
          <cell r="F8010" t="str">
            <v>FOR CMS USE ONLY</v>
          </cell>
          <cell r="G8010">
            <v>0</v>
          </cell>
        </row>
        <row r="8011">
          <cell r="A8011" t="str">
            <v>990E24500</v>
          </cell>
          <cell r="C8011" t="str">
            <v>LS</v>
          </cell>
          <cell r="D8011" t="str">
            <v>QC / QA</v>
          </cell>
          <cell r="F8011" t="str">
            <v>FOR CMS USE ONLY</v>
          </cell>
          <cell r="G8011">
            <v>0</v>
          </cell>
        </row>
        <row r="8012">
          <cell r="A8012" t="str">
            <v>990E24600</v>
          </cell>
          <cell r="C8012" t="str">
            <v>LS</v>
          </cell>
          <cell r="D8012" t="str">
            <v>LANDSCAPING ADJUSTMENT</v>
          </cell>
          <cell r="F8012" t="str">
            <v>FOR CMS USE ONLY</v>
          </cell>
          <cell r="G8012">
            <v>0</v>
          </cell>
        </row>
        <row r="8013">
          <cell r="A8013" t="str">
            <v>990E24700</v>
          </cell>
          <cell r="C8013" t="str">
            <v>LS</v>
          </cell>
          <cell r="D8013" t="str">
            <v>104.02 ADJUSTMENT</v>
          </cell>
          <cell r="F8013" t="str">
            <v>FOR CMS USE ONLY</v>
          </cell>
          <cell r="G8013">
            <v>0</v>
          </cell>
        </row>
        <row r="8014">
          <cell r="A8014" t="str">
            <v>990E24800</v>
          </cell>
          <cell r="C8014" t="str">
            <v>LS</v>
          </cell>
          <cell r="D8014" t="str">
            <v>SOP 305 / 510 - 009SP</v>
          </cell>
          <cell r="F8014" t="str">
            <v>FOR CMS USE ONLY</v>
          </cell>
          <cell r="G8014">
            <v>0</v>
          </cell>
        </row>
        <row r="8015">
          <cell r="A8015" t="str">
            <v>990E24900</v>
          </cell>
          <cell r="C8015" t="str">
            <v>LS</v>
          </cell>
          <cell r="D8015" t="str">
            <v>109.05 - BUY BACK MATERIAL</v>
          </cell>
          <cell r="F8015" t="str">
            <v>FOR CMS USE ONLY</v>
          </cell>
          <cell r="G8015">
            <v>0</v>
          </cell>
        </row>
        <row r="8016">
          <cell r="A8016" t="str">
            <v>990E25000</v>
          </cell>
          <cell r="C8016" t="str">
            <v>LS</v>
          </cell>
          <cell r="D8016" t="str">
            <v>FUEL PRICE ADJUSTMENT</v>
          </cell>
          <cell r="F8016" t="str">
            <v>FOR CMS USE ONLY</v>
          </cell>
          <cell r="G8016">
            <v>0</v>
          </cell>
        </row>
        <row r="8017">
          <cell r="A8017" t="str">
            <v>990E25100</v>
          </cell>
          <cell r="C8017" t="str">
            <v>LS</v>
          </cell>
          <cell r="D8017" t="str">
            <v>UTILITY CONFLICT/DELAYS</v>
          </cell>
          <cell r="F8017" t="str">
            <v>FOR CMS USE ONLY</v>
          </cell>
          <cell r="G8017">
            <v>0</v>
          </cell>
        </row>
        <row r="8018">
          <cell r="A8018" t="str">
            <v>990E25200</v>
          </cell>
          <cell r="C8018" t="str">
            <v>LS</v>
          </cell>
          <cell r="D8018" t="str">
            <v>ABANDONED UTILITY CONFLICT/DELAYS</v>
          </cell>
          <cell r="F8018" t="str">
            <v>FOR CMS USE ONLY</v>
          </cell>
          <cell r="G8018">
            <v>0</v>
          </cell>
        </row>
        <row r="8019">
          <cell r="A8019" t="str">
            <v>990E25300</v>
          </cell>
          <cell r="C8019" t="str">
            <v>LS</v>
          </cell>
          <cell r="D8019" t="str">
            <v>105.03 NON-CONFORMANCE ADJUSTMENT</v>
          </cell>
          <cell r="F8019" t="str">
            <v>FOR CMS USE ONLY</v>
          </cell>
          <cell r="G8019">
            <v>0</v>
          </cell>
        </row>
        <row r="8020">
          <cell r="A8020" t="str">
            <v>990E25400</v>
          </cell>
          <cell r="C8020" t="str">
            <v>LS</v>
          </cell>
          <cell r="D8020" t="str">
            <v>LUMP SUM ADJUSTMENT - GENERAL / OTHER ITEMS</v>
          </cell>
          <cell r="F8020" t="str">
            <v>FOR CMS USE ONLY</v>
          </cell>
          <cell r="G8020">
            <v>0</v>
          </cell>
        </row>
        <row r="8021">
          <cell r="A8021" t="str">
            <v>990E30000</v>
          </cell>
          <cell r="C8021" t="str">
            <v>LS</v>
          </cell>
          <cell r="D8021" t="str">
            <v>AGREED LUMP SUM</v>
          </cell>
          <cell r="F8021" t="str">
            <v>FOR CMS USE ONLY</v>
          </cell>
          <cell r="G8021">
            <v>0</v>
          </cell>
        </row>
        <row r="8022">
          <cell r="A8022" t="str">
            <v>990E40000</v>
          </cell>
          <cell r="C8022" t="str">
            <v>EACH</v>
          </cell>
          <cell r="D8022" t="str">
            <v>AGREED UNIT PRICE</v>
          </cell>
          <cell r="F8022" t="str">
            <v>FOR CMS USE ONLY</v>
          </cell>
          <cell r="G8022">
            <v>0</v>
          </cell>
        </row>
        <row r="8023">
          <cell r="A8023" t="str">
            <v>990E40010</v>
          </cell>
          <cell r="C8023" t="str">
            <v>FT</v>
          </cell>
          <cell r="D8023" t="str">
            <v>AGREED UNIT PRICE</v>
          </cell>
          <cell r="F8023" t="str">
            <v>FOR CMS USE ONLY</v>
          </cell>
          <cell r="G8023">
            <v>0</v>
          </cell>
        </row>
        <row r="8024">
          <cell r="A8024" t="str">
            <v>990E40020</v>
          </cell>
          <cell r="C8024" t="str">
            <v>SF</v>
          </cell>
          <cell r="D8024" t="str">
            <v>AGREED UNIT PRICE</v>
          </cell>
          <cell r="F8024" t="str">
            <v>FOR CMS USE ONLY</v>
          </cell>
          <cell r="G8024">
            <v>0</v>
          </cell>
        </row>
        <row r="8025">
          <cell r="A8025" t="str">
            <v>990E40030</v>
          </cell>
          <cell r="C8025" t="str">
            <v>SY</v>
          </cell>
          <cell r="D8025" t="str">
            <v>AGREED UNIT PRICE</v>
          </cell>
          <cell r="F8025" t="str">
            <v>FOR CMS USE ONLY</v>
          </cell>
          <cell r="G8025">
            <v>0</v>
          </cell>
        </row>
        <row r="8026">
          <cell r="A8026" t="str">
            <v>990E40050</v>
          </cell>
          <cell r="C8026" t="str">
            <v>MILE</v>
          </cell>
          <cell r="D8026" t="str">
            <v>AGREED UNIT PRICE</v>
          </cell>
          <cell r="F8026" t="str">
            <v>FOR CMS USE ONLY</v>
          </cell>
          <cell r="G8026">
            <v>0</v>
          </cell>
        </row>
        <row r="8027">
          <cell r="A8027" t="str">
            <v>990E40060</v>
          </cell>
          <cell r="C8027" t="str">
            <v>CY</v>
          </cell>
          <cell r="D8027" t="str">
            <v>AGREED UNIT PRICE</v>
          </cell>
          <cell r="F8027" t="str">
            <v>FOR CMS USE ONLY</v>
          </cell>
          <cell r="G8027">
            <v>0</v>
          </cell>
        </row>
        <row r="8028">
          <cell r="A8028" t="str">
            <v>990E40070</v>
          </cell>
          <cell r="C8028" t="str">
            <v>LB</v>
          </cell>
          <cell r="D8028" t="str">
            <v>AGREED UNIT PRICE</v>
          </cell>
          <cell r="F8028" t="str">
            <v>FOR CMS USE ONLY</v>
          </cell>
          <cell r="G8028">
            <v>0</v>
          </cell>
        </row>
        <row r="8029">
          <cell r="A8029" t="str">
            <v>990E40080</v>
          </cell>
          <cell r="C8029" t="str">
            <v>MNTH</v>
          </cell>
          <cell r="D8029" t="str">
            <v>AGREED UNIT PRICE</v>
          </cell>
          <cell r="F8029" t="str">
            <v>FOR CMS USE ONLY</v>
          </cell>
          <cell r="G8029">
            <v>0</v>
          </cell>
        </row>
        <row r="8030">
          <cell r="A8030" t="str">
            <v>990E40090</v>
          </cell>
          <cell r="C8030" t="str">
            <v>TON</v>
          </cell>
          <cell r="D8030" t="str">
            <v>AGREED UNIT PRICE</v>
          </cell>
          <cell r="F8030" t="str">
            <v>FOR CMS USE ONLY</v>
          </cell>
          <cell r="G8030">
            <v>0</v>
          </cell>
        </row>
        <row r="8031">
          <cell r="A8031" t="str">
            <v>990E40100</v>
          </cell>
          <cell r="C8031" t="str">
            <v>TKFT</v>
          </cell>
          <cell r="D8031" t="str">
            <v>AGREED UNIT PRICE</v>
          </cell>
          <cell r="F8031" t="str">
            <v>FOR CMS USE ONLY</v>
          </cell>
          <cell r="G8031">
            <v>0</v>
          </cell>
        </row>
        <row r="8032">
          <cell r="A8032" t="str">
            <v>990E50000</v>
          </cell>
          <cell r="C8032" t="str">
            <v>HOUR</v>
          </cell>
          <cell r="D8032" t="str">
            <v>AGREED UNIT PRICE</v>
          </cell>
          <cell r="F8032" t="str">
            <v>FOR CMS USE ONLY</v>
          </cell>
          <cell r="G8032">
            <v>0</v>
          </cell>
        </row>
        <row r="8033">
          <cell r="A8033" t="str">
            <v>990E50100</v>
          </cell>
          <cell r="C8033" t="str">
            <v>DAY</v>
          </cell>
          <cell r="D8033" t="str">
            <v>AGREED UNIT PRICE</v>
          </cell>
          <cell r="F8033" t="str">
            <v>FOR SITE MANAGER USE ONLY</v>
          </cell>
          <cell r="G8033">
            <v>0</v>
          </cell>
        </row>
        <row r="8034">
          <cell r="A8034" t="str">
            <v>990E50110</v>
          </cell>
          <cell r="C8034" t="str">
            <v>GAL</v>
          </cell>
          <cell r="D8034" t="str">
            <v>AGREED UNIT PRICE</v>
          </cell>
          <cell r="F8034" t="str">
            <v>FOR SITE MANAGER USE ONLY</v>
          </cell>
          <cell r="G8034">
            <v>0</v>
          </cell>
        </row>
        <row r="8035">
          <cell r="A8035" t="str">
            <v>990E50120</v>
          </cell>
          <cell r="C8035" t="str">
            <v>STA</v>
          </cell>
          <cell r="D8035" t="str">
            <v>AGREED UNIT PRICE</v>
          </cell>
          <cell r="F8035" t="str">
            <v>FOR SITE MANAGER USE ONLY</v>
          </cell>
          <cell r="G8035">
            <v>0</v>
          </cell>
        </row>
        <row r="8036">
          <cell r="A8036" t="str">
            <v>990E50130</v>
          </cell>
          <cell r="C8036" t="str">
            <v>MSF</v>
          </cell>
          <cell r="D8036" t="str">
            <v>AGREED UNIT PRICE</v>
          </cell>
          <cell r="F8036" t="str">
            <v>FOR SITE MANAGER USE ONLY</v>
          </cell>
          <cell r="G8036">
            <v>0</v>
          </cell>
        </row>
        <row r="8037">
          <cell r="A8037" t="str">
            <v>990E50140</v>
          </cell>
          <cell r="C8037" t="str">
            <v>MGAL</v>
          </cell>
          <cell r="D8037" t="str">
            <v>AGREED UNIT PRICE</v>
          </cell>
          <cell r="G8037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7182-1634-4F1B-8A46-08232BF8950A}">
  <sheetPr>
    <pageSetUpPr fitToPage="1"/>
  </sheetPr>
  <dimension ref="A1:AM661"/>
  <sheetViews>
    <sheetView showGridLines="0" topLeftCell="J572" zoomScale="89" zoomScaleNormal="89" workbookViewId="0">
      <selection activeCell="Q648" sqref="Q648:Q649"/>
    </sheetView>
  </sheetViews>
  <sheetFormatPr defaultColWidth="9.140625" defaultRowHeight="12.75" customHeight="1" x14ac:dyDescent="0.2"/>
  <cols>
    <col min="1" max="1" width="2.5703125" style="5" customWidth="1"/>
    <col min="2" max="2" width="9.140625" style="5"/>
    <col min="3" max="3" width="5.28515625" style="5" customWidth="1"/>
    <col min="4" max="4" width="9.140625" style="181" customWidth="1"/>
    <col min="5" max="5" width="13.140625" style="181" bestFit="1" customWidth="1"/>
    <col min="6" max="6" width="8.7109375" style="181" customWidth="1"/>
    <col min="7" max="7" width="2.7109375" style="181" customWidth="1"/>
    <col min="8" max="8" width="11.85546875" style="181" customWidth="1"/>
    <col min="9" max="9" width="7.7109375" style="208" bestFit="1" customWidth="1"/>
    <col min="10" max="10" width="4.42578125" style="208" bestFit="1" customWidth="1"/>
    <col min="11" max="33" width="8.7109375" style="181" customWidth="1"/>
    <col min="34" max="16384" width="9.140625" style="5"/>
  </cols>
  <sheetData>
    <row r="1" spans="1:39" ht="12.75" customHeight="1" x14ac:dyDescent="0.2">
      <c r="A1" s="5">
        <v>1</v>
      </c>
      <c r="D1" s="174"/>
      <c r="E1" s="174"/>
      <c r="F1" s="175"/>
      <c r="G1" s="175" t="s">
        <v>15</v>
      </c>
      <c r="H1" s="174" t="s">
        <v>14</v>
      </c>
      <c r="I1" s="206"/>
      <c r="J1" s="206"/>
      <c r="K1" s="176"/>
      <c r="L1" s="177"/>
      <c r="M1" s="176"/>
      <c r="N1" s="176"/>
      <c r="O1" s="177"/>
      <c r="P1" s="177"/>
      <c r="Q1" s="177"/>
      <c r="R1" s="177"/>
      <c r="S1" s="177"/>
      <c r="T1" s="177"/>
      <c r="U1" s="176"/>
      <c r="V1" s="176"/>
      <c r="W1" s="176"/>
      <c r="X1" s="176"/>
      <c r="Y1" s="176"/>
      <c r="Z1" s="176"/>
      <c r="AA1" s="178"/>
      <c r="AB1" s="178"/>
      <c r="AC1" s="178"/>
      <c r="AD1" s="178"/>
      <c r="AE1" s="178"/>
      <c r="AF1" s="178"/>
      <c r="AG1" s="178"/>
    </row>
    <row r="2" spans="1:39" ht="12.75" customHeight="1" x14ac:dyDescent="0.2">
      <c r="D2" s="174"/>
      <c r="E2" s="174"/>
      <c r="F2" s="175"/>
      <c r="G2" s="175" t="s">
        <v>16</v>
      </c>
      <c r="H2" s="174" t="s">
        <v>5</v>
      </c>
      <c r="I2" s="206"/>
      <c r="J2" s="206"/>
      <c r="K2" s="176"/>
      <c r="L2" s="177"/>
      <c r="M2" s="176"/>
      <c r="N2" s="176"/>
      <c r="O2" s="177"/>
      <c r="P2" s="177"/>
      <c r="Q2" s="177"/>
      <c r="R2" s="177"/>
      <c r="S2" s="177"/>
      <c r="T2" s="177"/>
      <c r="U2" s="176"/>
      <c r="V2" s="176"/>
      <c r="W2" s="176"/>
      <c r="X2" s="176"/>
      <c r="Y2" s="176"/>
      <c r="Z2" s="176"/>
      <c r="AA2" s="178"/>
      <c r="AB2" s="178"/>
      <c r="AC2" s="178"/>
      <c r="AD2" s="178"/>
      <c r="AE2" s="178"/>
      <c r="AF2" s="178"/>
      <c r="AG2" s="178"/>
    </row>
    <row r="3" spans="1:39" ht="12.75" customHeight="1" x14ac:dyDescent="0.2">
      <c r="D3" s="174"/>
      <c r="E3" s="175"/>
      <c r="F3" s="175"/>
      <c r="G3" s="175" t="s">
        <v>17</v>
      </c>
      <c r="H3" s="174" t="s">
        <v>4</v>
      </c>
      <c r="I3" s="206"/>
      <c r="J3" s="206"/>
      <c r="K3" s="176"/>
      <c r="L3" s="174"/>
      <c r="M3" s="176"/>
      <c r="N3" s="176"/>
      <c r="O3" s="174"/>
      <c r="P3" s="174"/>
      <c r="Q3" s="174"/>
      <c r="R3" s="174"/>
      <c r="S3" s="174"/>
      <c r="T3" s="174"/>
      <c r="U3" s="176"/>
      <c r="V3" s="176"/>
      <c r="W3" s="176"/>
      <c r="X3" s="176"/>
      <c r="Y3" s="176"/>
      <c r="Z3" s="176"/>
      <c r="AA3" s="178"/>
      <c r="AB3" s="178"/>
      <c r="AC3" s="178"/>
      <c r="AD3" s="178"/>
      <c r="AE3" s="178"/>
      <c r="AF3" s="178"/>
      <c r="AG3" s="178"/>
    </row>
    <row r="4" spans="1:39" ht="12.75" customHeight="1" x14ac:dyDescent="0.2">
      <c r="D4" s="174"/>
      <c r="E4" s="175"/>
      <c r="F4" s="179"/>
      <c r="G4" s="175" t="s">
        <v>18</v>
      </c>
      <c r="H4" s="174" t="s">
        <v>12</v>
      </c>
      <c r="I4" s="206"/>
      <c r="J4" s="206"/>
      <c r="K4" s="176"/>
      <c r="L4" s="174"/>
      <c r="M4" s="176"/>
      <c r="N4" s="176"/>
      <c r="O4" s="174"/>
      <c r="P4" s="174"/>
      <c r="Q4" s="174"/>
      <c r="R4" s="174"/>
      <c r="S4" s="174"/>
      <c r="T4" s="174"/>
      <c r="U4" s="176"/>
      <c r="V4" s="176"/>
      <c r="W4" s="176"/>
      <c r="X4" s="176"/>
      <c r="Y4" s="176"/>
      <c r="Z4" s="176"/>
      <c r="AA4" s="178"/>
      <c r="AB4" s="178"/>
      <c r="AC4" s="178"/>
      <c r="AD4" s="178"/>
      <c r="AE4" s="178"/>
      <c r="AF4" s="178"/>
      <c r="AG4" s="178"/>
    </row>
    <row r="5" spans="1:39" ht="12.75" customHeight="1" x14ac:dyDescent="0.2">
      <c r="D5" s="174"/>
      <c r="E5" s="175"/>
      <c r="F5" s="179"/>
      <c r="G5" s="175" t="s">
        <v>19</v>
      </c>
      <c r="H5" s="174" t="s">
        <v>13</v>
      </c>
      <c r="I5" s="207"/>
      <c r="J5" s="207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80"/>
      <c r="V5" s="180"/>
      <c r="W5" s="176"/>
      <c r="X5" s="176"/>
      <c r="Y5" s="180"/>
      <c r="Z5" s="180"/>
      <c r="AA5" s="178"/>
      <c r="AB5" s="178"/>
      <c r="AC5" s="178"/>
      <c r="AD5" s="178"/>
      <c r="AE5" s="178"/>
      <c r="AF5" s="178"/>
      <c r="AG5" s="178"/>
    </row>
    <row r="6" spans="1:39" ht="12.75" customHeight="1" thickBot="1" x14ac:dyDescent="0.25"/>
    <row r="7" spans="1:39" ht="12.75" customHeight="1" thickBot="1" x14ac:dyDescent="0.25">
      <c r="B7" s="20" t="s">
        <v>9</v>
      </c>
      <c r="D7" s="284" t="str">
        <f>"SUBSUMMARY SHEET " &amp; B8</f>
        <v>SUBSUMMARY SHEET 1</v>
      </c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182"/>
      <c r="AG7" s="182"/>
      <c r="AH7" s="25">
        <v>1</v>
      </c>
      <c r="AI7" s="26" t="s">
        <v>22</v>
      </c>
      <c r="AJ7" s="27"/>
      <c r="AK7" s="27"/>
      <c r="AL7" s="27"/>
      <c r="AM7" s="27"/>
    </row>
    <row r="8" spans="1:39" ht="12.75" customHeight="1" thickBot="1" x14ac:dyDescent="0.25">
      <c r="B8" s="24">
        <v>1</v>
      </c>
      <c r="D8" s="279" t="s">
        <v>7</v>
      </c>
      <c r="E8" s="279"/>
      <c r="F8" s="279"/>
      <c r="G8" s="279"/>
      <c r="H8" s="279"/>
      <c r="I8" s="209"/>
      <c r="J8" s="209"/>
      <c r="K8" s="183" t="s">
        <v>26</v>
      </c>
      <c r="L8" s="183" t="s">
        <v>27</v>
      </c>
      <c r="M8" s="183" t="s">
        <v>693</v>
      </c>
      <c r="N8" s="183" t="s">
        <v>694</v>
      </c>
      <c r="O8" s="183" t="s">
        <v>40</v>
      </c>
      <c r="P8" s="183" t="s">
        <v>42</v>
      </c>
      <c r="Q8" s="183" t="s">
        <v>44</v>
      </c>
      <c r="R8" s="183" t="s">
        <v>705</v>
      </c>
      <c r="S8" s="183" t="s">
        <v>47</v>
      </c>
      <c r="T8" s="183" t="s">
        <v>49</v>
      </c>
      <c r="U8" s="183" t="s">
        <v>52</v>
      </c>
      <c r="V8" s="183" t="s">
        <v>53</v>
      </c>
      <c r="W8" s="183" t="s">
        <v>55</v>
      </c>
      <c r="X8" s="183" t="s">
        <v>57</v>
      </c>
      <c r="Y8" s="183" t="s">
        <v>63</v>
      </c>
      <c r="Z8" s="183" t="s">
        <v>65</v>
      </c>
      <c r="AA8" s="183" t="s">
        <v>707</v>
      </c>
      <c r="AB8" s="183" t="s">
        <v>709</v>
      </c>
      <c r="AC8" s="183" t="s">
        <v>70</v>
      </c>
      <c r="AD8" s="183" t="s">
        <v>71</v>
      </c>
      <c r="AE8" s="183" t="s">
        <v>72</v>
      </c>
      <c r="AF8" s="183" t="s">
        <v>73</v>
      </c>
      <c r="AG8" s="183" t="s">
        <v>688</v>
      </c>
    </row>
    <row r="9" spans="1:39" ht="12.75" customHeight="1" thickBot="1" x14ac:dyDescent="0.25">
      <c r="D9" s="280" t="s">
        <v>8</v>
      </c>
      <c r="E9" s="280"/>
      <c r="F9" s="280"/>
      <c r="G9" s="280"/>
      <c r="H9" s="280"/>
      <c r="I9" s="210"/>
      <c r="J9" s="210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 spans="1:39" ht="12.75" customHeight="1" x14ac:dyDescent="0.2">
      <c r="B10" s="250" t="s">
        <v>10</v>
      </c>
      <c r="D10" s="253" t="s">
        <v>20</v>
      </c>
      <c r="E10" s="253" t="s">
        <v>21</v>
      </c>
      <c r="F10" s="256" t="s">
        <v>0</v>
      </c>
      <c r="G10" s="257"/>
      <c r="H10" s="257"/>
      <c r="I10" s="262" t="s">
        <v>23</v>
      </c>
      <c r="J10" s="274" t="s">
        <v>704</v>
      </c>
      <c r="K10" s="145" t="str">
        <f>IF(OR(TRIM(K8)=0,TRIM(K8)=""),"",IF(IFERROR(TRIM(INDEX(QryItemNamed,MATCH(TRIM(K8),ITEM,0),2)),"")="Y","SPECIAL",LEFT(IFERROR(TRIM(INDEX(ITEM,MATCH(TRIM(K8),ITEM,0))),""),3)))</f>
        <v>621</v>
      </c>
      <c r="L10" s="145" t="str">
        <f>IF(OR(TRIM(L8)=0,TRIM(L8)=""),"",IF(IFERROR(TRIM(INDEX(QryItemNamed,MATCH(TRIM(L8),ITEM,0),2)),"")="Y","SPECIAL",LEFT(IFERROR(TRIM(INDEX(ITEM,MATCH(TRIM(L8),ITEM,0))),""),3)))</f>
        <v>621</v>
      </c>
      <c r="M10" s="145">
        <v>642</v>
      </c>
      <c r="N10" s="145">
        <v>642</v>
      </c>
      <c r="O10" s="145">
        <v>644</v>
      </c>
      <c r="P10" s="145">
        <v>644</v>
      </c>
      <c r="Q10" s="145">
        <v>644</v>
      </c>
      <c r="R10" s="145">
        <v>644</v>
      </c>
      <c r="S10" s="145">
        <v>644</v>
      </c>
      <c r="T10" s="145" t="str">
        <f>IF(OR(TRIM(T8)=0,TRIM(T8)=""),"",IF(IFERROR(TRIM(INDEX(QryItemNamed,MATCH(TRIM(T8),ITEM,0),2)),"")="Y","SPECIAL",LEFT(IFERROR(TRIM(INDEX(ITEM,MATCH(TRIM(T8),ITEM,0))),""),3)))</f>
        <v>SPECIAL</v>
      </c>
      <c r="U10" s="145">
        <v>644</v>
      </c>
      <c r="V10" s="145">
        <v>644</v>
      </c>
      <c r="W10" s="145">
        <v>644</v>
      </c>
      <c r="X10" s="145">
        <v>644</v>
      </c>
      <c r="Y10" s="145">
        <v>644</v>
      </c>
      <c r="Z10" s="145">
        <v>644</v>
      </c>
      <c r="AA10" s="145">
        <v>646</v>
      </c>
      <c r="AB10" s="145">
        <v>646</v>
      </c>
      <c r="AC10" s="145" t="str">
        <f t="shared" ref="AC10:AE10" si="0">IF(OR(TRIM(AC8)=0,TRIM(AC8)=""),"",IF(IFERROR(TRIM(INDEX(QryItemNamed,MATCH(TRIM(AC8),ITEM,0),2)),"")="Y","SPECIAL",LEFT(IFERROR(TRIM(INDEX(ITEM,MATCH(TRIM(AC8),ITEM,0))),""),3)))</f>
        <v>SPECIAL</v>
      </c>
      <c r="AD10" s="145" t="str">
        <f t="shared" si="0"/>
        <v>618</v>
      </c>
      <c r="AE10" s="145" t="str">
        <f t="shared" si="0"/>
        <v>618</v>
      </c>
      <c r="AF10" s="145" t="str">
        <f t="shared" ref="AF10" si="1">IF(OR(TRIM(AF8)=0,TRIM(AF8)=""),"",IF(IFERROR(TRIM(INDEX(QryItemNamed,MATCH(TRIM(AF8),ITEM,0),2)),"")="Y","SPECIAL",LEFT(IFERROR(TRIM(INDEX(ITEM,MATCH(TRIM(AF8),ITEM,0))),""),3)))</f>
        <v>618</v>
      </c>
      <c r="AG10" s="145">
        <v>874</v>
      </c>
    </row>
    <row r="11" spans="1:39" ht="12.75" customHeight="1" x14ac:dyDescent="0.2">
      <c r="B11" s="251"/>
      <c r="D11" s="254"/>
      <c r="E11" s="254"/>
      <c r="F11" s="258"/>
      <c r="G11" s="259"/>
      <c r="H11" s="259"/>
      <c r="I11" s="263"/>
      <c r="J11" s="275"/>
      <c r="K11" s="281" t="str">
        <f>IF(OR(TRIM(K8)=0,TRIM(K8)=""),IF(K9="","",K9),IF(IFERROR(TRIM(INDEX(QryItemNamed,MATCH(TRIM(K8),ITEM,0),2)),"")="Y",TRIM(RIGHT(IFERROR(TRIM(INDEX(QryItemNamed,MATCH(TRIM(K8),ITEM,0),4)),"123456789012"),LEN(IFERROR(TRIM(INDEX(QryItemNamed,MATCH(TRIM(K8),ITEM,0),4)),"123456789012"))-9))&amp;K9,IFERROR(TRIM(INDEX(QryItemNamed,MATCH(TRIM(K8),ITEM,0),4))&amp;K9,"ITEM CODE DOES NOT EXIST IN ITEM MASTER")))</f>
        <v>RPM</v>
      </c>
      <c r="L11" s="247" t="str">
        <f>IF(OR(TRIM(L8)=0,TRIM(L8)=""),IF(L9="","",L9),IF(IFERROR(TRIM(INDEX(QryItemNamed,MATCH(TRIM(L8),ITEM,0),2)),"")="Y",TRIM(RIGHT(IFERROR(TRIM(INDEX(QryItemNamed,MATCH(TRIM(L8),ITEM,0),4)),"123456789012"),LEN(IFERROR(TRIM(INDEX(QryItemNamed,MATCH(TRIM(L8),ITEM,0),4)),"123456789012"))-9))&amp;L9,IFERROR(TRIM(INDEX(QryItemNamed,MATCH(TRIM(L8),ITEM,0),4))&amp;L9,"ITEM CODE DOES NOT EXIST IN ITEM MASTER")))</f>
        <v>RAISED PAVEMENT MARKER REMOVED</v>
      </c>
      <c r="M11" s="247" t="s">
        <v>692</v>
      </c>
      <c r="N11" s="244" t="s">
        <v>695</v>
      </c>
      <c r="O11" s="278" t="s">
        <v>41</v>
      </c>
      <c r="P11" s="244" t="s">
        <v>43</v>
      </c>
      <c r="Q11" s="244" t="s">
        <v>45</v>
      </c>
      <c r="R11" s="278" t="s">
        <v>706</v>
      </c>
      <c r="S11" s="244" t="s">
        <v>48</v>
      </c>
      <c r="T11" s="244" t="s">
        <v>50</v>
      </c>
      <c r="U11" s="244" t="s">
        <v>59</v>
      </c>
      <c r="V11" s="244" t="s">
        <v>54</v>
      </c>
      <c r="W11" s="244" t="s">
        <v>56</v>
      </c>
      <c r="X11" s="268" t="s">
        <v>58</v>
      </c>
      <c r="Y11" s="268" t="s">
        <v>64</v>
      </c>
      <c r="Z11" s="268" t="s">
        <v>66</v>
      </c>
      <c r="AA11" s="244" t="s">
        <v>708</v>
      </c>
      <c r="AB11" s="244" t="s">
        <v>32</v>
      </c>
      <c r="AC11" s="244" t="s">
        <v>74</v>
      </c>
      <c r="AD11" s="244" t="s">
        <v>672</v>
      </c>
      <c r="AE11" s="244" t="s">
        <v>671</v>
      </c>
      <c r="AF11" s="247" t="s">
        <v>670</v>
      </c>
      <c r="AG11" s="244" t="s">
        <v>689</v>
      </c>
    </row>
    <row r="12" spans="1:39" ht="12.75" customHeight="1" x14ac:dyDescent="0.2">
      <c r="B12" s="251"/>
      <c r="D12" s="254"/>
      <c r="E12" s="254"/>
      <c r="F12" s="258"/>
      <c r="G12" s="259"/>
      <c r="H12" s="259"/>
      <c r="I12" s="263"/>
      <c r="J12" s="275"/>
      <c r="K12" s="282"/>
      <c r="L12" s="248"/>
      <c r="M12" s="248"/>
      <c r="N12" s="245"/>
      <c r="O12" s="278"/>
      <c r="P12" s="245"/>
      <c r="Q12" s="245"/>
      <c r="R12" s="278"/>
      <c r="S12" s="245"/>
      <c r="T12" s="245"/>
      <c r="U12" s="245"/>
      <c r="V12" s="245"/>
      <c r="W12" s="245"/>
      <c r="X12" s="269"/>
      <c r="Y12" s="269"/>
      <c r="Z12" s="269"/>
      <c r="AA12" s="245"/>
      <c r="AB12" s="245"/>
      <c r="AC12" s="245"/>
      <c r="AD12" s="245"/>
      <c r="AE12" s="245"/>
      <c r="AF12" s="248"/>
      <c r="AG12" s="245"/>
    </row>
    <row r="13" spans="1:39" ht="12.75" customHeight="1" x14ac:dyDescent="0.2">
      <c r="B13" s="251"/>
      <c r="D13" s="254"/>
      <c r="E13" s="254"/>
      <c r="F13" s="258"/>
      <c r="G13" s="259"/>
      <c r="H13" s="259"/>
      <c r="I13" s="263"/>
      <c r="J13" s="275"/>
      <c r="K13" s="282"/>
      <c r="L13" s="248"/>
      <c r="M13" s="248"/>
      <c r="N13" s="245"/>
      <c r="O13" s="278"/>
      <c r="P13" s="245"/>
      <c r="Q13" s="245"/>
      <c r="R13" s="278"/>
      <c r="S13" s="245"/>
      <c r="T13" s="245"/>
      <c r="U13" s="245"/>
      <c r="V13" s="245"/>
      <c r="W13" s="245"/>
      <c r="X13" s="269"/>
      <c r="Y13" s="269"/>
      <c r="Z13" s="269"/>
      <c r="AA13" s="245"/>
      <c r="AB13" s="245"/>
      <c r="AC13" s="245"/>
      <c r="AD13" s="245"/>
      <c r="AE13" s="245"/>
      <c r="AF13" s="248"/>
      <c r="AG13" s="245"/>
    </row>
    <row r="14" spans="1:39" ht="12.75" customHeight="1" x14ac:dyDescent="0.2">
      <c r="B14" s="251"/>
      <c r="D14" s="254"/>
      <c r="E14" s="254"/>
      <c r="F14" s="258"/>
      <c r="G14" s="259"/>
      <c r="H14" s="259"/>
      <c r="I14" s="263"/>
      <c r="J14" s="275"/>
      <c r="K14" s="282"/>
      <c r="L14" s="248"/>
      <c r="M14" s="248"/>
      <c r="N14" s="245"/>
      <c r="O14" s="278"/>
      <c r="P14" s="245"/>
      <c r="Q14" s="245"/>
      <c r="R14" s="278"/>
      <c r="S14" s="245"/>
      <c r="T14" s="245"/>
      <c r="U14" s="245"/>
      <c r="V14" s="245"/>
      <c r="W14" s="245"/>
      <c r="X14" s="269"/>
      <c r="Y14" s="269"/>
      <c r="Z14" s="269"/>
      <c r="AA14" s="245"/>
      <c r="AB14" s="245"/>
      <c r="AC14" s="245"/>
      <c r="AD14" s="245"/>
      <c r="AE14" s="245"/>
      <c r="AF14" s="248"/>
      <c r="AG14" s="245"/>
    </row>
    <row r="15" spans="1:39" ht="12.75" customHeight="1" x14ac:dyDescent="0.2">
      <c r="B15" s="251"/>
      <c r="D15" s="254"/>
      <c r="E15" s="254"/>
      <c r="F15" s="258"/>
      <c r="G15" s="259"/>
      <c r="H15" s="259"/>
      <c r="I15" s="263"/>
      <c r="J15" s="275"/>
      <c r="K15" s="282"/>
      <c r="L15" s="248"/>
      <c r="M15" s="248"/>
      <c r="N15" s="245"/>
      <c r="O15" s="278"/>
      <c r="P15" s="245"/>
      <c r="Q15" s="245"/>
      <c r="R15" s="278"/>
      <c r="S15" s="245"/>
      <c r="T15" s="245"/>
      <c r="U15" s="245"/>
      <c r="V15" s="245"/>
      <c r="W15" s="245"/>
      <c r="X15" s="269"/>
      <c r="Y15" s="269"/>
      <c r="Z15" s="269"/>
      <c r="AA15" s="245"/>
      <c r="AB15" s="245"/>
      <c r="AC15" s="245"/>
      <c r="AD15" s="245"/>
      <c r="AE15" s="245"/>
      <c r="AF15" s="248"/>
      <c r="AG15" s="245"/>
    </row>
    <row r="16" spans="1:39" ht="12.75" customHeight="1" x14ac:dyDescent="0.2">
      <c r="B16" s="251"/>
      <c r="D16" s="254"/>
      <c r="E16" s="254"/>
      <c r="F16" s="258"/>
      <c r="G16" s="259"/>
      <c r="H16" s="259"/>
      <c r="I16" s="263"/>
      <c r="J16" s="275"/>
      <c r="K16" s="282"/>
      <c r="L16" s="248"/>
      <c r="M16" s="248"/>
      <c r="N16" s="245"/>
      <c r="O16" s="278"/>
      <c r="P16" s="245"/>
      <c r="Q16" s="245"/>
      <c r="R16" s="278"/>
      <c r="S16" s="245"/>
      <c r="T16" s="245"/>
      <c r="U16" s="245"/>
      <c r="V16" s="245"/>
      <c r="W16" s="245"/>
      <c r="X16" s="269"/>
      <c r="Y16" s="269"/>
      <c r="Z16" s="269"/>
      <c r="AA16" s="245"/>
      <c r="AB16" s="245"/>
      <c r="AC16" s="245"/>
      <c r="AD16" s="245"/>
      <c r="AE16" s="245"/>
      <c r="AF16" s="248"/>
      <c r="AG16" s="245"/>
    </row>
    <row r="17" spans="2:33" ht="12.75" customHeight="1" x14ac:dyDescent="0.2">
      <c r="B17" s="251"/>
      <c r="D17" s="254"/>
      <c r="E17" s="254"/>
      <c r="F17" s="258"/>
      <c r="G17" s="259"/>
      <c r="H17" s="259"/>
      <c r="I17" s="263"/>
      <c r="J17" s="275"/>
      <c r="K17" s="282"/>
      <c r="L17" s="248"/>
      <c r="M17" s="248"/>
      <c r="N17" s="245"/>
      <c r="O17" s="278"/>
      <c r="P17" s="245"/>
      <c r="Q17" s="245"/>
      <c r="R17" s="278"/>
      <c r="S17" s="245"/>
      <c r="T17" s="245"/>
      <c r="U17" s="245"/>
      <c r="V17" s="245"/>
      <c r="W17" s="245"/>
      <c r="X17" s="269"/>
      <c r="Y17" s="269"/>
      <c r="Z17" s="269"/>
      <c r="AA17" s="245"/>
      <c r="AB17" s="245"/>
      <c r="AC17" s="245"/>
      <c r="AD17" s="245"/>
      <c r="AE17" s="245"/>
      <c r="AF17" s="248"/>
      <c r="AG17" s="245"/>
    </row>
    <row r="18" spans="2:33" ht="12.75" customHeight="1" x14ac:dyDescent="0.2">
      <c r="B18" s="251"/>
      <c r="D18" s="254"/>
      <c r="E18" s="254"/>
      <c r="F18" s="258"/>
      <c r="G18" s="259"/>
      <c r="H18" s="259"/>
      <c r="I18" s="263"/>
      <c r="J18" s="275"/>
      <c r="K18" s="282"/>
      <c r="L18" s="248"/>
      <c r="M18" s="248"/>
      <c r="N18" s="245"/>
      <c r="O18" s="278"/>
      <c r="P18" s="245"/>
      <c r="Q18" s="245"/>
      <c r="R18" s="278"/>
      <c r="S18" s="245"/>
      <c r="T18" s="245"/>
      <c r="U18" s="245"/>
      <c r="V18" s="245"/>
      <c r="W18" s="245"/>
      <c r="X18" s="269"/>
      <c r="Y18" s="269"/>
      <c r="Z18" s="269"/>
      <c r="AA18" s="245"/>
      <c r="AB18" s="245"/>
      <c r="AC18" s="245"/>
      <c r="AD18" s="245"/>
      <c r="AE18" s="245"/>
      <c r="AF18" s="248"/>
      <c r="AG18" s="245"/>
    </row>
    <row r="19" spans="2:33" ht="12.75" customHeight="1" x14ac:dyDescent="0.2">
      <c r="B19" s="251"/>
      <c r="D19" s="254"/>
      <c r="E19" s="254"/>
      <c r="F19" s="258"/>
      <c r="G19" s="259"/>
      <c r="H19" s="259"/>
      <c r="I19" s="263"/>
      <c r="J19" s="275"/>
      <c r="K19" s="282"/>
      <c r="L19" s="248"/>
      <c r="M19" s="248"/>
      <c r="N19" s="245"/>
      <c r="O19" s="278"/>
      <c r="P19" s="245"/>
      <c r="Q19" s="245"/>
      <c r="R19" s="278"/>
      <c r="S19" s="245"/>
      <c r="T19" s="245"/>
      <c r="U19" s="245"/>
      <c r="V19" s="245"/>
      <c r="W19" s="245"/>
      <c r="X19" s="269"/>
      <c r="Y19" s="269"/>
      <c r="Z19" s="269"/>
      <c r="AA19" s="245"/>
      <c r="AB19" s="245"/>
      <c r="AC19" s="245"/>
      <c r="AD19" s="245"/>
      <c r="AE19" s="245"/>
      <c r="AF19" s="248"/>
      <c r="AG19" s="245"/>
    </row>
    <row r="20" spans="2:33" ht="12.75" customHeight="1" x14ac:dyDescent="0.2">
      <c r="B20" s="251"/>
      <c r="D20" s="254"/>
      <c r="E20" s="254"/>
      <c r="F20" s="258"/>
      <c r="G20" s="259"/>
      <c r="H20" s="259"/>
      <c r="I20" s="263"/>
      <c r="J20" s="275"/>
      <c r="K20" s="282"/>
      <c r="L20" s="248"/>
      <c r="M20" s="248"/>
      <c r="N20" s="245"/>
      <c r="O20" s="278"/>
      <c r="P20" s="245"/>
      <c r="Q20" s="245"/>
      <c r="R20" s="278"/>
      <c r="S20" s="245"/>
      <c r="T20" s="245"/>
      <c r="U20" s="245"/>
      <c r="V20" s="245"/>
      <c r="W20" s="245"/>
      <c r="X20" s="269"/>
      <c r="Y20" s="269"/>
      <c r="Z20" s="269"/>
      <c r="AA20" s="245"/>
      <c r="AB20" s="245"/>
      <c r="AC20" s="245"/>
      <c r="AD20" s="245"/>
      <c r="AE20" s="245"/>
      <c r="AF20" s="248"/>
      <c r="AG20" s="245"/>
    </row>
    <row r="21" spans="2:33" ht="12.75" customHeight="1" x14ac:dyDescent="0.2">
      <c r="B21" s="251"/>
      <c r="D21" s="254"/>
      <c r="E21" s="254"/>
      <c r="F21" s="258"/>
      <c r="G21" s="259"/>
      <c r="H21" s="259"/>
      <c r="I21" s="263"/>
      <c r="J21" s="275"/>
      <c r="K21" s="282"/>
      <c r="L21" s="248"/>
      <c r="M21" s="248"/>
      <c r="N21" s="245"/>
      <c r="O21" s="278"/>
      <c r="P21" s="245"/>
      <c r="Q21" s="245"/>
      <c r="R21" s="278"/>
      <c r="S21" s="245"/>
      <c r="T21" s="245"/>
      <c r="U21" s="245"/>
      <c r="V21" s="245"/>
      <c r="W21" s="245"/>
      <c r="X21" s="269"/>
      <c r="Y21" s="269"/>
      <c r="Z21" s="269"/>
      <c r="AA21" s="245"/>
      <c r="AB21" s="245"/>
      <c r="AC21" s="245"/>
      <c r="AD21" s="245"/>
      <c r="AE21" s="245"/>
      <c r="AF21" s="248"/>
      <c r="AG21" s="245"/>
    </row>
    <row r="22" spans="2:33" ht="9.6" customHeight="1" x14ac:dyDescent="0.2">
      <c r="B22" s="251"/>
      <c r="D22" s="254"/>
      <c r="E22" s="254"/>
      <c r="F22" s="258"/>
      <c r="G22" s="259"/>
      <c r="H22" s="259"/>
      <c r="I22" s="263"/>
      <c r="J22" s="275"/>
      <c r="K22" s="283"/>
      <c r="L22" s="249"/>
      <c r="M22" s="249"/>
      <c r="N22" s="246"/>
      <c r="O22" s="278"/>
      <c r="P22" s="246"/>
      <c r="Q22" s="246"/>
      <c r="R22" s="278"/>
      <c r="S22" s="246"/>
      <c r="T22" s="246"/>
      <c r="U22" s="246"/>
      <c r="V22" s="246"/>
      <c r="W22" s="246"/>
      <c r="X22" s="270"/>
      <c r="Y22" s="270"/>
      <c r="Z22" s="270"/>
      <c r="AA22" s="246"/>
      <c r="AB22" s="246"/>
      <c r="AC22" s="246"/>
      <c r="AD22" s="246"/>
      <c r="AE22" s="246"/>
      <c r="AF22" s="249"/>
      <c r="AG22" s="246"/>
    </row>
    <row r="23" spans="2:33" ht="12.75" customHeight="1" thickBot="1" x14ac:dyDescent="0.25">
      <c r="B23" s="252"/>
      <c r="D23" s="255"/>
      <c r="E23" s="255"/>
      <c r="F23" s="260"/>
      <c r="G23" s="261"/>
      <c r="H23" s="261"/>
      <c r="I23" s="264"/>
      <c r="J23" s="276"/>
      <c r="K23" s="102" t="str">
        <f t="shared" ref="K23:P23" si="2">IF(OR(TRIM(K8)=0,TRIM(K8)=""),"",IFERROR(TRIM(INDEX(QryItemNamed,MATCH(TRIM(K8),ITEM,0),3)),""))</f>
        <v>EACH</v>
      </c>
      <c r="L23" s="102" t="str">
        <f t="shared" si="2"/>
        <v>EACH</v>
      </c>
      <c r="M23" s="102" t="str">
        <f t="shared" si="2"/>
        <v>MILE</v>
      </c>
      <c r="N23" s="102" t="str">
        <f t="shared" si="2"/>
        <v>MILE</v>
      </c>
      <c r="O23" s="102" t="str">
        <f t="shared" si="2"/>
        <v>FT</v>
      </c>
      <c r="P23" s="102" t="str">
        <f t="shared" si="2"/>
        <v>FT</v>
      </c>
      <c r="Q23" s="102" t="s">
        <v>46</v>
      </c>
      <c r="R23" s="102" t="s">
        <v>46</v>
      </c>
      <c r="S23" s="102" t="s">
        <v>46</v>
      </c>
      <c r="T23" s="102" t="s">
        <v>51</v>
      </c>
      <c r="U23" s="102" t="s">
        <v>51</v>
      </c>
      <c r="V23" s="102" t="s">
        <v>51</v>
      </c>
      <c r="W23" s="102" t="s">
        <v>46</v>
      </c>
      <c r="X23" s="102" t="s">
        <v>46</v>
      </c>
      <c r="Y23" s="102" t="s">
        <v>46</v>
      </c>
      <c r="Z23" s="102" t="s">
        <v>51</v>
      </c>
      <c r="AA23" s="102" t="s">
        <v>673</v>
      </c>
      <c r="AB23" s="102" t="s">
        <v>673</v>
      </c>
      <c r="AC23" s="102" t="s">
        <v>673</v>
      </c>
      <c r="AD23" s="102" t="s">
        <v>673</v>
      </c>
      <c r="AE23" s="102" t="s">
        <v>673</v>
      </c>
      <c r="AF23" s="102" t="s">
        <v>673</v>
      </c>
      <c r="AG23" s="102" t="s">
        <v>673</v>
      </c>
    </row>
    <row r="24" spans="2:33" ht="12.75" customHeight="1" x14ac:dyDescent="0.2">
      <c r="B24" s="21">
        <v>1</v>
      </c>
      <c r="D24" s="105"/>
      <c r="E24" s="105"/>
      <c r="F24" s="166"/>
      <c r="G24" s="105"/>
      <c r="H24" s="166"/>
      <c r="I24" s="106"/>
      <c r="J24" s="211"/>
      <c r="K24" s="185"/>
      <c r="L24" s="105"/>
      <c r="M24" s="186"/>
      <c r="N24" s="186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2:33" ht="12.75" customHeight="1" x14ac:dyDescent="0.2">
      <c r="B25" s="21">
        <v>1</v>
      </c>
      <c r="C25" s="5">
        <f>884+18</f>
        <v>902</v>
      </c>
      <c r="D25" s="114" t="s">
        <v>151</v>
      </c>
      <c r="E25" s="114" t="s">
        <v>724</v>
      </c>
      <c r="F25" s="187">
        <v>59864</v>
      </c>
      <c r="G25" s="114"/>
      <c r="H25" s="147">
        <v>60250</v>
      </c>
      <c r="I25" s="217" t="s">
        <v>24</v>
      </c>
      <c r="J25" s="212">
        <v>4</v>
      </c>
      <c r="K25" s="141"/>
      <c r="L25" s="141"/>
      <c r="M25" s="140">
        <f>(H25-F25)/5280</f>
        <v>7.3106060606060605E-2</v>
      </c>
      <c r="N25" s="140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</row>
    <row r="26" spans="2:33" ht="12.75" customHeight="1" x14ac:dyDescent="0.2">
      <c r="B26" s="21">
        <v>1</v>
      </c>
      <c r="D26" s="114" t="s">
        <v>152</v>
      </c>
      <c r="E26" s="114" t="s">
        <v>724</v>
      </c>
      <c r="F26" s="187">
        <v>59864</v>
      </c>
      <c r="G26" s="114"/>
      <c r="H26" s="147">
        <v>60250</v>
      </c>
      <c r="I26" s="217" t="s">
        <v>25</v>
      </c>
      <c r="J26" s="212">
        <v>4</v>
      </c>
      <c r="K26" s="139"/>
      <c r="L26" s="141"/>
      <c r="M26" s="140">
        <f>(H26-F26)/5280</f>
        <v>7.3106060606060605E-2</v>
      </c>
      <c r="N26" s="140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</row>
    <row r="27" spans="2:33" ht="12.75" customHeight="1" x14ac:dyDescent="0.2">
      <c r="B27" s="21">
        <v>1</v>
      </c>
      <c r="D27" s="114" t="s">
        <v>148</v>
      </c>
      <c r="E27" s="114" t="s">
        <v>724</v>
      </c>
      <c r="F27" s="187">
        <v>59864</v>
      </c>
      <c r="G27" s="114"/>
      <c r="H27" s="147">
        <v>59885</v>
      </c>
      <c r="I27" s="217" t="s">
        <v>25</v>
      </c>
      <c r="J27" s="212">
        <v>4</v>
      </c>
      <c r="K27" s="139"/>
      <c r="L27" s="109"/>
      <c r="M27" s="140"/>
      <c r="N27" s="140">
        <f>(H27-F27)/5280</f>
        <v>3.9772727272727269E-3</v>
      </c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</row>
    <row r="28" spans="2:33" ht="12.75" customHeight="1" x14ac:dyDescent="0.2">
      <c r="B28" s="21">
        <v>1</v>
      </c>
      <c r="D28" s="114" t="s">
        <v>149</v>
      </c>
      <c r="E28" s="114" t="s">
        <v>724</v>
      </c>
      <c r="F28" s="187">
        <v>59995</v>
      </c>
      <c r="G28" s="114"/>
      <c r="H28" s="147">
        <v>60250</v>
      </c>
      <c r="I28" s="217" t="s">
        <v>25</v>
      </c>
      <c r="J28" s="212">
        <v>4</v>
      </c>
      <c r="K28" s="139"/>
      <c r="L28" s="109">
        <f>ROUNDUP((H28-F28)/80,0)</f>
        <v>4</v>
      </c>
      <c r="M28" s="140"/>
      <c r="N28" s="140">
        <f>(H28-F28)/5280</f>
        <v>4.8295454545454544E-2</v>
      </c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</row>
    <row r="29" spans="2:33" ht="12.75" customHeight="1" x14ac:dyDescent="0.2">
      <c r="B29" s="21">
        <v>1</v>
      </c>
      <c r="D29" s="114" t="s">
        <v>569</v>
      </c>
      <c r="E29" s="114" t="s">
        <v>724</v>
      </c>
      <c r="F29" s="187">
        <v>59995</v>
      </c>
      <c r="G29" s="114"/>
      <c r="H29" s="147">
        <v>60250</v>
      </c>
      <c r="I29" s="217" t="s">
        <v>25</v>
      </c>
      <c r="J29" s="212">
        <v>4</v>
      </c>
      <c r="K29" s="141">
        <f>ROUNDUP((H29-F29)/80,0)</f>
        <v>4</v>
      </c>
      <c r="L29" s="109"/>
      <c r="M29" s="140"/>
      <c r="N29" s="140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2:33" ht="12.6" customHeight="1" x14ac:dyDescent="0.2">
      <c r="B30" s="21">
        <v>1</v>
      </c>
      <c r="D30" s="114" t="s">
        <v>150</v>
      </c>
      <c r="E30" s="114" t="s">
        <v>724</v>
      </c>
      <c r="F30" s="187">
        <v>59995</v>
      </c>
      <c r="G30" s="114"/>
      <c r="H30" s="147">
        <v>60250</v>
      </c>
      <c r="I30" s="217" t="s">
        <v>24</v>
      </c>
      <c r="J30" s="212">
        <v>4</v>
      </c>
      <c r="K30" s="139"/>
      <c r="L30" s="109">
        <f>ROUNDUP((H30-F30)/80,0)</f>
        <v>4</v>
      </c>
      <c r="M30" s="140"/>
      <c r="N30" s="140">
        <f>(H30-F30)/5280</f>
        <v>4.8295454545454544E-2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</row>
    <row r="31" spans="2:33" ht="12.6" customHeight="1" x14ac:dyDescent="0.2">
      <c r="B31" s="21">
        <v>1</v>
      </c>
      <c r="D31" s="114" t="s">
        <v>570</v>
      </c>
      <c r="E31" s="114" t="s">
        <v>724</v>
      </c>
      <c r="F31" s="187">
        <v>59995</v>
      </c>
      <c r="G31" s="114"/>
      <c r="H31" s="147">
        <v>60250</v>
      </c>
      <c r="I31" s="217" t="s">
        <v>24</v>
      </c>
      <c r="J31" s="212">
        <v>4</v>
      </c>
      <c r="K31" s="141">
        <f>ROUNDUP((H31-F31)/80,0)</f>
        <v>4</v>
      </c>
      <c r="L31" s="109"/>
      <c r="M31" s="140"/>
      <c r="N31" s="140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</row>
    <row r="32" spans="2:33" ht="12.75" customHeight="1" x14ac:dyDescent="0.2">
      <c r="B32" s="21">
        <v>1</v>
      </c>
      <c r="D32" s="114" t="s">
        <v>153</v>
      </c>
      <c r="E32" s="114" t="s">
        <v>724</v>
      </c>
      <c r="F32" s="188"/>
      <c r="G32" s="114"/>
      <c r="H32" s="147"/>
      <c r="I32" s="217" t="s">
        <v>25</v>
      </c>
      <c r="J32" s="212">
        <v>4</v>
      </c>
      <c r="K32" s="139"/>
      <c r="L32" s="114"/>
      <c r="M32" s="140"/>
      <c r="N32" s="140"/>
      <c r="O32" s="114"/>
      <c r="P32" s="114"/>
      <c r="Q32" s="114">
        <f>65+76</f>
        <v>141</v>
      </c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</row>
    <row r="33" spans="2:33" ht="12.75" customHeight="1" x14ac:dyDescent="0.2">
      <c r="B33" s="21">
        <v>1</v>
      </c>
      <c r="D33" s="114" t="s">
        <v>154</v>
      </c>
      <c r="E33" s="114" t="s">
        <v>724</v>
      </c>
      <c r="F33" s="187">
        <v>59995</v>
      </c>
      <c r="G33" s="114"/>
      <c r="H33" s="147">
        <v>60250</v>
      </c>
      <c r="I33" s="217" t="s">
        <v>25</v>
      </c>
      <c r="J33" s="212">
        <v>4</v>
      </c>
      <c r="K33" s="139"/>
      <c r="L33" s="114"/>
      <c r="M33" s="140"/>
      <c r="N33" s="140"/>
      <c r="O33" s="114"/>
      <c r="P33" s="114"/>
      <c r="Q33" s="114"/>
      <c r="R33" s="114"/>
      <c r="S33" s="114">
        <f>16+15+15+15+15+14+14+13+12</f>
        <v>129</v>
      </c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</row>
    <row r="34" spans="2:33" ht="12.75" customHeight="1" x14ac:dyDescent="0.2">
      <c r="B34" s="21"/>
      <c r="D34" s="114"/>
      <c r="E34" s="114"/>
      <c r="F34" s="187"/>
      <c r="G34" s="114"/>
      <c r="H34" s="147"/>
      <c r="I34" s="217"/>
      <c r="J34" s="212"/>
      <c r="K34" s="139"/>
      <c r="L34" s="114"/>
      <c r="M34" s="140"/>
      <c r="N34" s="140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</row>
    <row r="35" spans="2:33" ht="12.75" customHeight="1" x14ac:dyDescent="0.2">
      <c r="B35" s="21">
        <v>1</v>
      </c>
      <c r="D35" s="114" t="s">
        <v>155</v>
      </c>
      <c r="E35" s="114" t="s">
        <v>725</v>
      </c>
      <c r="F35" s="189">
        <v>60250</v>
      </c>
      <c r="G35" s="114"/>
      <c r="H35" s="147">
        <v>60750</v>
      </c>
      <c r="I35" s="217" t="s">
        <v>24</v>
      </c>
      <c r="J35" s="212">
        <v>4</v>
      </c>
      <c r="K35" s="139"/>
      <c r="L35" s="114"/>
      <c r="M35" s="140">
        <f>(H35-F35)/5280</f>
        <v>9.4696969696969696E-2</v>
      </c>
      <c r="N35" s="140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</row>
    <row r="36" spans="2:33" ht="12.75" customHeight="1" x14ac:dyDescent="0.2">
      <c r="B36" s="21">
        <v>1</v>
      </c>
      <c r="D36" s="114" t="s">
        <v>156</v>
      </c>
      <c r="E36" s="114" t="s">
        <v>725</v>
      </c>
      <c r="F36" s="189">
        <v>60250</v>
      </c>
      <c r="G36" s="114"/>
      <c r="H36" s="147">
        <v>60750</v>
      </c>
      <c r="I36" s="217" t="s">
        <v>25</v>
      </c>
      <c r="J36" s="212">
        <v>4</v>
      </c>
      <c r="K36" s="139"/>
      <c r="L36" s="114"/>
      <c r="M36" s="140">
        <f>(H36-F36)/5280</f>
        <v>9.4696969696969696E-2</v>
      </c>
      <c r="N36" s="110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</row>
    <row r="37" spans="2:33" ht="12.75" customHeight="1" x14ac:dyDescent="0.2">
      <c r="B37" s="21">
        <v>1</v>
      </c>
      <c r="D37" s="114" t="s">
        <v>157</v>
      </c>
      <c r="E37" s="114" t="s">
        <v>725</v>
      </c>
      <c r="F37" s="187">
        <v>60725</v>
      </c>
      <c r="G37" s="114"/>
      <c r="H37" s="147">
        <v>60750</v>
      </c>
      <c r="I37" s="217" t="s">
        <v>25</v>
      </c>
      <c r="J37" s="212">
        <v>4</v>
      </c>
      <c r="K37" s="139"/>
      <c r="L37" s="114"/>
      <c r="M37" s="140">
        <f>(H37-F37)/5280</f>
        <v>4.734848484848485E-3</v>
      </c>
      <c r="N37" s="140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</row>
    <row r="38" spans="2:33" ht="12.75" customHeight="1" x14ac:dyDescent="0.2">
      <c r="B38" s="21">
        <v>1</v>
      </c>
      <c r="D38" s="114" t="s">
        <v>158</v>
      </c>
      <c r="E38" s="114" t="s">
        <v>725</v>
      </c>
      <c r="F38" s="189">
        <v>60250</v>
      </c>
      <c r="G38" s="114"/>
      <c r="H38" s="147">
        <v>60750</v>
      </c>
      <c r="I38" s="217" t="s">
        <v>24</v>
      </c>
      <c r="J38" s="212">
        <v>4</v>
      </c>
      <c r="K38" s="139"/>
      <c r="L38" s="109">
        <f>ROUNDUP((H38-F38)/80,0)</f>
        <v>7</v>
      </c>
      <c r="M38" s="140"/>
      <c r="N38" s="140">
        <f>(H38-F38)/5280</f>
        <v>9.4696969696969696E-2</v>
      </c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</row>
    <row r="39" spans="2:33" ht="12.75" customHeight="1" x14ac:dyDescent="0.2">
      <c r="B39" s="21">
        <v>1</v>
      </c>
      <c r="D39" s="114" t="s">
        <v>571</v>
      </c>
      <c r="E39" s="114" t="s">
        <v>725</v>
      </c>
      <c r="F39" s="189">
        <v>60250</v>
      </c>
      <c r="G39" s="114"/>
      <c r="H39" s="147">
        <v>60750</v>
      </c>
      <c r="I39" s="217" t="s">
        <v>24</v>
      </c>
      <c r="J39" s="212">
        <v>4</v>
      </c>
      <c r="K39" s="141">
        <f>ROUNDUP((H39-F39)/80,0)</f>
        <v>7</v>
      </c>
      <c r="L39" s="114"/>
      <c r="M39" s="140"/>
      <c r="N39" s="140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</row>
    <row r="40" spans="2:33" ht="12.75" customHeight="1" x14ac:dyDescent="0.2">
      <c r="B40" s="21">
        <v>1</v>
      </c>
      <c r="D40" s="114" t="s">
        <v>159</v>
      </c>
      <c r="E40" s="114" t="s">
        <v>725</v>
      </c>
      <c r="F40" s="189">
        <v>60250</v>
      </c>
      <c r="G40" s="114"/>
      <c r="H40" s="147">
        <v>60750</v>
      </c>
      <c r="I40" s="217" t="s">
        <v>25</v>
      </c>
      <c r="J40" s="212">
        <v>4</v>
      </c>
      <c r="K40" s="139"/>
      <c r="L40" s="109">
        <f>ROUNDUP((H40-F40)/80,0)</f>
        <v>7</v>
      </c>
      <c r="M40" s="140"/>
      <c r="N40" s="140">
        <f>(H40-F40)/5280</f>
        <v>9.4696969696969696E-2</v>
      </c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</row>
    <row r="41" spans="2:33" ht="12.75" customHeight="1" x14ac:dyDescent="0.2">
      <c r="B41" s="21">
        <v>1</v>
      </c>
      <c r="D41" s="114" t="s">
        <v>572</v>
      </c>
      <c r="E41" s="114" t="s">
        <v>725</v>
      </c>
      <c r="F41" s="189">
        <v>60250</v>
      </c>
      <c r="G41" s="114"/>
      <c r="H41" s="147">
        <v>60750</v>
      </c>
      <c r="I41" s="217" t="s">
        <v>25</v>
      </c>
      <c r="J41" s="212">
        <v>4</v>
      </c>
      <c r="K41" s="141">
        <f>ROUNDUP((H41-F41)/80,0)</f>
        <v>7</v>
      </c>
      <c r="L41" s="114"/>
      <c r="M41" s="140"/>
      <c r="N41" s="140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</row>
    <row r="42" spans="2:33" ht="12.75" customHeight="1" x14ac:dyDescent="0.2">
      <c r="B42" s="21">
        <v>1</v>
      </c>
      <c r="D42" s="114" t="s">
        <v>160</v>
      </c>
      <c r="E42" s="114" t="s">
        <v>725</v>
      </c>
      <c r="F42" s="189">
        <v>60250</v>
      </c>
      <c r="G42" s="114"/>
      <c r="H42" s="147">
        <v>60570</v>
      </c>
      <c r="I42" s="217" t="s">
        <v>25</v>
      </c>
      <c r="J42" s="212">
        <v>4</v>
      </c>
      <c r="K42" s="139"/>
      <c r="L42" s="114"/>
      <c r="M42" s="140"/>
      <c r="N42" s="140"/>
      <c r="O42" s="114"/>
      <c r="P42" s="114"/>
      <c r="Q42" s="114"/>
      <c r="R42" s="114"/>
      <c r="S42" s="114">
        <f>11.5+10+9.5+8.5+7.5+7+6.5+6+6+5.5</f>
        <v>78</v>
      </c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</row>
    <row r="43" spans="2:33" ht="12.75" customHeight="1" x14ac:dyDescent="0.2">
      <c r="B43" s="21">
        <v>1</v>
      </c>
      <c r="D43" s="114" t="s">
        <v>161</v>
      </c>
      <c r="E43" s="114" t="s">
        <v>725</v>
      </c>
      <c r="F43" s="188"/>
      <c r="G43" s="114"/>
      <c r="H43" s="147"/>
      <c r="I43" s="217" t="s">
        <v>25</v>
      </c>
      <c r="J43" s="212">
        <v>4</v>
      </c>
      <c r="K43" s="139"/>
      <c r="L43" s="114"/>
      <c r="M43" s="140"/>
      <c r="N43" s="140"/>
      <c r="O43" s="114"/>
      <c r="P43" s="114"/>
      <c r="Q43" s="114">
        <f>23+18</f>
        <v>41</v>
      </c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</row>
    <row r="44" spans="2:33" ht="12.75" customHeight="1" x14ac:dyDescent="0.2">
      <c r="B44" s="21"/>
      <c r="D44" s="114"/>
      <c r="E44" s="114"/>
      <c r="F44" s="188"/>
      <c r="G44" s="114"/>
      <c r="H44" s="147"/>
      <c r="I44" s="217"/>
      <c r="J44" s="212"/>
      <c r="K44" s="139"/>
      <c r="L44" s="114"/>
      <c r="M44" s="140"/>
      <c r="N44" s="140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</row>
    <row r="45" spans="2:33" ht="12.75" customHeight="1" x14ac:dyDescent="0.2">
      <c r="B45" s="21">
        <v>1</v>
      </c>
      <c r="D45" s="114" t="s">
        <v>162</v>
      </c>
      <c r="E45" s="114" t="s">
        <v>726</v>
      </c>
      <c r="F45" s="187">
        <v>60750</v>
      </c>
      <c r="G45" s="114"/>
      <c r="H45" s="147">
        <v>61250</v>
      </c>
      <c r="I45" s="217" t="s">
        <v>25</v>
      </c>
      <c r="J45" s="212">
        <v>4</v>
      </c>
      <c r="K45" s="139"/>
      <c r="L45" s="114"/>
      <c r="M45" s="140">
        <f>(H45-F45)/5280</f>
        <v>9.4696969696969696E-2</v>
      </c>
      <c r="N45" s="140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</row>
    <row r="46" spans="2:33" ht="12.75" customHeight="1" x14ac:dyDescent="0.2">
      <c r="B46" s="21">
        <v>1</v>
      </c>
      <c r="D46" s="114" t="s">
        <v>163</v>
      </c>
      <c r="E46" s="114" t="s">
        <v>726</v>
      </c>
      <c r="F46" s="187">
        <v>60750</v>
      </c>
      <c r="G46" s="114"/>
      <c r="H46" s="147">
        <v>61250</v>
      </c>
      <c r="I46" s="217" t="s">
        <v>24</v>
      </c>
      <c r="J46" s="212">
        <v>4</v>
      </c>
      <c r="K46" s="139"/>
      <c r="L46" s="114"/>
      <c r="M46" s="140">
        <f>(H46-F46)/5280</f>
        <v>9.4696969696969696E-2</v>
      </c>
      <c r="N46" s="140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</row>
    <row r="47" spans="2:33" ht="12.75" customHeight="1" x14ac:dyDescent="0.2">
      <c r="B47" s="21">
        <v>1</v>
      </c>
      <c r="D47" s="114" t="s">
        <v>164</v>
      </c>
      <c r="E47" s="114" t="s">
        <v>726</v>
      </c>
      <c r="F47" s="187">
        <v>60750</v>
      </c>
      <c r="G47" s="114"/>
      <c r="H47" s="147">
        <v>61250</v>
      </c>
      <c r="I47" s="217" t="s">
        <v>25</v>
      </c>
      <c r="J47" s="212">
        <v>4</v>
      </c>
      <c r="K47" s="139"/>
      <c r="L47" s="109">
        <f>ROUNDUP((H47-F47)/80,0)</f>
        <v>7</v>
      </c>
      <c r="M47" s="140"/>
      <c r="N47" s="140">
        <f>(H47-F47)/5280</f>
        <v>9.4696969696969696E-2</v>
      </c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</row>
    <row r="48" spans="2:33" ht="12.75" customHeight="1" x14ac:dyDescent="0.2">
      <c r="B48" s="21">
        <v>1</v>
      </c>
      <c r="D48" s="114" t="s">
        <v>573</v>
      </c>
      <c r="E48" s="114" t="s">
        <v>726</v>
      </c>
      <c r="F48" s="187">
        <v>60750</v>
      </c>
      <c r="G48" s="114"/>
      <c r="H48" s="147">
        <v>61250</v>
      </c>
      <c r="I48" s="217" t="s">
        <v>25</v>
      </c>
      <c r="J48" s="212">
        <v>4</v>
      </c>
      <c r="K48" s="141">
        <f>ROUNDUP((H48-F48)/80,0)</f>
        <v>7</v>
      </c>
      <c r="L48" s="114"/>
      <c r="M48" s="140"/>
      <c r="N48" s="140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</row>
    <row r="49" spans="2:33" ht="12.75" customHeight="1" x14ac:dyDescent="0.2">
      <c r="B49" s="21">
        <v>1</v>
      </c>
      <c r="D49" s="114" t="s">
        <v>165</v>
      </c>
      <c r="E49" s="114" t="s">
        <v>726</v>
      </c>
      <c r="F49" s="187">
        <v>60750</v>
      </c>
      <c r="G49" s="114"/>
      <c r="H49" s="147">
        <v>61250</v>
      </c>
      <c r="I49" s="217" t="s">
        <v>24</v>
      </c>
      <c r="J49" s="212">
        <v>4</v>
      </c>
      <c r="K49" s="139"/>
      <c r="L49" s="109">
        <f>ROUNDUP((H49-F49)/80,0)</f>
        <v>7</v>
      </c>
      <c r="M49" s="140"/>
      <c r="N49" s="140">
        <f>(H49-F49)/5280</f>
        <v>9.4696969696969696E-2</v>
      </c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</row>
    <row r="50" spans="2:33" ht="12.75" customHeight="1" x14ac:dyDescent="0.2">
      <c r="B50" s="21">
        <v>1</v>
      </c>
      <c r="D50" s="114" t="s">
        <v>574</v>
      </c>
      <c r="E50" s="114" t="s">
        <v>726</v>
      </c>
      <c r="F50" s="187">
        <v>60750</v>
      </c>
      <c r="G50" s="114"/>
      <c r="H50" s="147">
        <v>61250</v>
      </c>
      <c r="I50" s="217" t="s">
        <v>24</v>
      </c>
      <c r="J50" s="212">
        <v>4</v>
      </c>
      <c r="K50" s="141">
        <f>ROUNDUP((H50-F50)/80,0)</f>
        <v>7</v>
      </c>
      <c r="L50" s="114"/>
      <c r="M50" s="140"/>
      <c r="N50" s="140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</row>
    <row r="51" spans="2:33" ht="12.75" customHeight="1" x14ac:dyDescent="0.2">
      <c r="B51" s="21"/>
      <c r="D51" s="114"/>
      <c r="E51" s="114"/>
      <c r="F51" s="187"/>
      <c r="G51" s="114"/>
      <c r="H51" s="147"/>
      <c r="I51" s="217"/>
      <c r="J51" s="212"/>
      <c r="K51" s="141"/>
      <c r="L51" s="114"/>
      <c r="M51" s="140"/>
      <c r="N51" s="140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</row>
    <row r="52" spans="2:33" ht="12.75" customHeight="1" x14ac:dyDescent="0.2">
      <c r="B52" s="21">
        <v>1</v>
      </c>
      <c r="D52" s="114" t="s">
        <v>166</v>
      </c>
      <c r="E52" s="114" t="s">
        <v>727</v>
      </c>
      <c r="F52" s="147">
        <v>61250</v>
      </c>
      <c r="G52" s="114"/>
      <c r="H52" s="147">
        <v>61750</v>
      </c>
      <c r="I52" s="217" t="s">
        <v>25</v>
      </c>
      <c r="J52" s="212">
        <v>4</v>
      </c>
      <c r="K52" s="139"/>
      <c r="L52" s="114"/>
      <c r="M52" s="140">
        <f>(H52-F52)/5280</f>
        <v>9.4696969696969696E-2</v>
      </c>
      <c r="N52" s="140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</row>
    <row r="53" spans="2:33" ht="12.75" customHeight="1" x14ac:dyDescent="0.2">
      <c r="B53" s="21">
        <v>1</v>
      </c>
      <c r="D53" s="114" t="s">
        <v>167</v>
      </c>
      <c r="E53" s="114" t="s">
        <v>727</v>
      </c>
      <c r="F53" s="147">
        <v>61250</v>
      </c>
      <c r="G53" s="114"/>
      <c r="H53" s="147">
        <v>61678</v>
      </c>
      <c r="I53" s="217" t="s">
        <v>24</v>
      </c>
      <c r="J53" s="212">
        <v>4</v>
      </c>
      <c r="K53" s="139"/>
      <c r="L53" s="114"/>
      <c r="M53" s="140">
        <f>(H53-F53)/5280</f>
        <v>8.1060606060606055E-2</v>
      </c>
      <c r="N53" s="140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</row>
    <row r="54" spans="2:33" ht="12.75" customHeight="1" x14ac:dyDescent="0.2">
      <c r="B54" s="21">
        <v>1</v>
      </c>
      <c r="D54" s="114" t="s">
        <v>168</v>
      </c>
      <c r="E54" s="114" t="s">
        <v>727</v>
      </c>
      <c r="F54" s="187">
        <v>61250</v>
      </c>
      <c r="G54" s="114"/>
      <c r="H54" s="147">
        <v>61399</v>
      </c>
      <c r="I54" s="217" t="s">
        <v>24</v>
      </c>
      <c r="J54" s="212">
        <v>4</v>
      </c>
      <c r="K54" s="139"/>
      <c r="L54" s="109">
        <f>ROUNDUP((H54-F54)/80,0)</f>
        <v>2</v>
      </c>
      <c r="M54" s="140"/>
      <c r="N54" s="140">
        <f>(H54-F54)/5280</f>
        <v>2.8219696969696971E-2</v>
      </c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</row>
    <row r="55" spans="2:33" ht="12.75" customHeight="1" x14ac:dyDescent="0.2">
      <c r="B55" s="21">
        <v>1</v>
      </c>
      <c r="D55" s="114" t="s">
        <v>575</v>
      </c>
      <c r="E55" s="114" t="s">
        <v>727</v>
      </c>
      <c r="F55" s="187">
        <v>61250</v>
      </c>
      <c r="G55" s="114"/>
      <c r="H55" s="147">
        <v>61399</v>
      </c>
      <c r="I55" s="217" t="s">
        <v>24</v>
      </c>
      <c r="J55" s="212">
        <v>4</v>
      </c>
      <c r="K55" s="141">
        <f>ROUNDUP((H55-F55)/80,0)</f>
        <v>2</v>
      </c>
      <c r="L55" s="114"/>
      <c r="M55" s="140"/>
      <c r="N55" s="140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</row>
    <row r="56" spans="2:33" ht="12.75" customHeight="1" x14ac:dyDescent="0.2">
      <c r="B56" s="21">
        <v>1</v>
      </c>
      <c r="D56" s="114" t="s">
        <v>169</v>
      </c>
      <c r="E56" s="114" t="s">
        <v>727</v>
      </c>
      <c r="F56" s="187">
        <v>61250</v>
      </c>
      <c r="G56" s="114"/>
      <c r="H56" s="147">
        <v>61750</v>
      </c>
      <c r="I56" s="217" t="s">
        <v>25</v>
      </c>
      <c r="J56" s="212">
        <v>4</v>
      </c>
      <c r="K56" s="139"/>
      <c r="L56" s="109">
        <f>ROUNDUP((H56-F56)/80,0)</f>
        <v>7</v>
      </c>
      <c r="M56" s="140"/>
      <c r="N56" s="140">
        <f>(H56-F56)/5280</f>
        <v>9.4696969696969696E-2</v>
      </c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</row>
    <row r="57" spans="2:33" ht="12.75" customHeight="1" x14ac:dyDescent="0.2">
      <c r="B57" s="21">
        <v>1</v>
      </c>
      <c r="D57" s="114" t="s">
        <v>576</v>
      </c>
      <c r="E57" s="114" t="s">
        <v>727</v>
      </c>
      <c r="F57" s="187">
        <v>61250</v>
      </c>
      <c r="G57" s="114"/>
      <c r="H57" s="147">
        <v>61750</v>
      </c>
      <c r="I57" s="217" t="s">
        <v>25</v>
      </c>
      <c r="J57" s="212">
        <v>4</v>
      </c>
      <c r="K57" s="141">
        <f>ROUNDUP((H57-F57)/80,0)</f>
        <v>7</v>
      </c>
      <c r="L57" s="114"/>
      <c r="M57" s="140"/>
      <c r="N57" s="140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</row>
    <row r="58" spans="2:33" ht="12.75" customHeight="1" x14ac:dyDescent="0.2">
      <c r="B58" s="21">
        <v>1</v>
      </c>
      <c r="D58" s="114" t="s">
        <v>170</v>
      </c>
      <c r="E58" s="114" t="s">
        <v>727</v>
      </c>
      <c r="F58" s="188"/>
      <c r="G58" s="114"/>
      <c r="H58" s="147"/>
      <c r="I58" s="217" t="s">
        <v>25</v>
      </c>
      <c r="J58" s="212">
        <v>4</v>
      </c>
      <c r="K58" s="139"/>
      <c r="L58" s="114"/>
      <c r="M58" s="140"/>
      <c r="N58" s="140"/>
      <c r="O58" s="114"/>
      <c r="P58" s="114">
        <v>24</v>
      </c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</row>
    <row r="59" spans="2:33" ht="12.75" customHeight="1" x14ac:dyDescent="0.2">
      <c r="B59" s="21">
        <v>1</v>
      </c>
      <c r="D59" s="114" t="s">
        <v>259</v>
      </c>
      <c r="E59" s="114" t="s">
        <v>727</v>
      </c>
      <c r="F59" s="188">
        <v>61399</v>
      </c>
      <c r="G59" s="114"/>
      <c r="H59" s="147">
        <v>61708</v>
      </c>
      <c r="I59" s="217"/>
      <c r="J59" s="212">
        <v>4</v>
      </c>
      <c r="K59" s="139"/>
      <c r="L59" s="114"/>
      <c r="M59" s="140"/>
      <c r="N59" s="140"/>
      <c r="O59" s="110">
        <f>H59-F59</f>
        <v>309</v>
      </c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</row>
    <row r="60" spans="2:33" ht="12.75" customHeight="1" x14ac:dyDescent="0.2">
      <c r="B60" s="21">
        <v>1</v>
      </c>
      <c r="D60" s="114" t="s">
        <v>564</v>
      </c>
      <c r="E60" s="114" t="s">
        <v>727</v>
      </c>
      <c r="F60" s="188">
        <v>61708</v>
      </c>
      <c r="G60" s="114"/>
      <c r="H60" s="147"/>
      <c r="I60" s="217" t="s">
        <v>25</v>
      </c>
      <c r="J60" s="212">
        <v>4</v>
      </c>
      <c r="K60" s="139"/>
      <c r="L60" s="114"/>
      <c r="M60" s="140"/>
      <c r="N60" s="140"/>
      <c r="O60" s="110">
        <v>19</v>
      </c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</row>
    <row r="61" spans="2:33" ht="12.75" customHeight="1" x14ac:dyDescent="0.2">
      <c r="B61" s="21">
        <v>1</v>
      </c>
      <c r="D61" s="114" t="s">
        <v>674</v>
      </c>
      <c r="E61" s="114" t="s">
        <v>727</v>
      </c>
      <c r="F61" s="188">
        <v>61708</v>
      </c>
      <c r="G61" s="114"/>
      <c r="H61" s="147"/>
      <c r="I61" s="217" t="s">
        <v>25</v>
      </c>
      <c r="J61" s="212">
        <v>4</v>
      </c>
      <c r="K61" s="139"/>
      <c r="L61" s="114"/>
      <c r="M61" s="140"/>
      <c r="N61" s="140"/>
      <c r="O61" s="110"/>
      <c r="P61" s="114"/>
      <c r="Q61" s="114">
        <f>24+30</f>
        <v>54</v>
      </c>
      <c r="R61" s="114">
        <f>5*10</f>
        <v>50</v>
      </c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</row>
    <row r="62" spans="2:33" ht="12.75" customHeight="1" x14ac:dyDescent="0.2">
      <c r="B62" s="21">
        <v>1</v>
      </c>
      <c r="D62" s="114" t="s">
        <v>171</v>
      </c>
      <c r="E62" s="114" t="s">
        <v>727</v>
      </c>
      <c r="F62" s="187">
        <v>61704</v>
      </c>
      <c r="G62" s="114"/>
      <c r="H62" s="147"/>
      <c r="I62" s="217" t="s">
        <v>25</v>
      </c>
      <c r="J62" s="212">
        <v>4</v>
      </c>
      <c r="K62" s="139"/>
      <c r="L62" s="114"/>
      <c r="M62" s="140"/>
      <c r="N62" s="140"/>
      <c r="O62" s="114"/>
      <c r="P62" s="114"/>
      <c r="Q62" s="114"/>
      <c r="R62" s="114"/>
      <c r="S62" s="114"/>
      <c r="T62" s="114"/>
      <c r="U62" s="114">
        <v>1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</row>
    <row r="63" spans="2:33" ht="12.75" customHeight="1" x14ac:dyDescent="0.2">
      <c r="B63" s="21">
        <v>1</v>
      </c>
      <c r="D63" s="114" t="s">
        <v>172</v>
      </c>
      <c r="E63" s="114" t="s">
        <v>727</v>
      </c>
      <c r="F63" s="187">
        <v>61715</v>
      </c>
      <c r="G63" s="114"/>
      <c r="H63" s="147"/>
      <c r="I63" s="217" t="s">
        <v>25</v>
      </c>
      <c r="J63" s="212">
        <v>4</v>
      </c>
      <c r="K63" s="139"/>
      <c r="L63" s="114"/>
      <c r="M63" s="140"/>
      <c r="N63" s="140"/>
      <c r="O63" s="114"/>
      <c r="P63" s="114"/>
      <c r="Q63" s="114"/>
      <c r="R63" s="114"/>
      <c r="S63" s="114"/>
      <c r="T63" s="114"/>
      <c r="U63" s="114">
        <v>1</v>
      </c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</row>
    <row r="64" spans="2:33" ht="12.75" customHeight="1" x14ac:dyDescent="0.2">
      <c r="B64" s="21"/>
      <c r="D64" s="114"/>
      <c r="E64" s="114"/>
      <c r="F64" s="187"/>
      <c r="G64" s="114"/>
      <c r="H64" s="147"/>
      <c r="I64" s="217"/>
      <c r="J64" s="212"/>
      <c r="K64" s="139"/>
      <c r="L64" s="114"/>
      <c r="M64" s="140"/>
      <c r="N64" s="140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</row>
    <row r="65" spans="2:33" ht="12.75" customHeight="1" x14ac:dyDescent="0.2">
      <c r="B65" s="21">
        <v>1</v>
      </c>
      <c r="D65" s="114" t="s">
        <v>177</v>
      </c>
      <c r="E65" s="114" t="s">
        <v>728</v>
      </c>
      <c r="F65" s="187">
        <v>61750</v>
      </c>
      <c r="G65" s="114"/>
      <c r="H65" s="147"/>
      <c r="I65" s="217" t="s">
        <v>25</v>
      </c>
      <c r="J65" s="212">
        <v>4</v>
      </c>
      <c r="K65" s="139"/>
      <c r="L65" s="114"/>
      <c r="M65" s="140"/>
      <c r="N65" s="140"/>
      <c r="O65" s="114"/>
      <c r="P65" s="114"/>
      <c r="Q65" s="114">
        <v>27</v>
      </c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</row>
    <row r="66" spans="2:33" ht="12.75" customHeight="1" x14ac:dyDescent="0.2">
      <c r="B66" s="21">
        <v>1</v>
      </c>
      <c r="D66" s="114" t="s">
        <v>175</v>
      </c>
      <c r="E66" s="114" t="s">
        <v>728</v>
      </c>
      <c r="F66" s="147">
        <v>61750</v>
      </c>
      <c r="G66" s="114"/>
      <c r="H66" s="147">
        <v>62250</v>
      </c>
      <c r="I66" s="217" t="s">
        <v>25</v>
      </c>
      <c r="J66" s="212">
        <v>4</v>
      </c>
      <c r="K66" s="139"/>
      <c r="L66" s="114"/>
      <c r="M66" s="140">
        <f>(H66-F66)/5280</f>
        <v>9.4696969696969696E-2</v>
      </c>
      <c r="N66" s="140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</row>
    <row r="67" spans="2:33" ht="12.75" customHeight="1" x14ac:dyDescent="0.2">
      <c r="B67" s="21">
        <v>1</v>
      </c>
      <c r="D67" s="114" t="s">
        <v>176</v>
      </c>
      <c r="E67" s="114" t="s">
        <v>728</v>
      </c>
      <c r="F67" s="147">
        <v>61750</v>
      </c>
      <c r="G67" s="114"/>
      <c r="H67" s="147">
        <v>62250</v>
      </c>
      <c r="I67" s="217" t="s">
        <v>24</v>
      </c>
      <c r="J67" s="212">
        <v>4</v>
      </c>
      <c r="K67" s="139"/>
      <c r="L67" s="114"/>
      <c r="M67" s="140">
        <f>(H67-F67)/5280</f>
        <v>9.4696969696969696E-2</v>
      </c>
      <c r="N67" s="140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</row>
    <row r="68" spans="2:33" ht="12.75" customHeight="1" x14ac:dyDescent="0.2">
      <c r="B68" s="21">
        <v>1</v>
      </c>
      <c r="D68" s="114" t="s">
        <v>173</v>
      </c>
      <c r="E68" s="114" t="s">
        <v>728</v>
      </c>
      <c r="F68" s="187">
        <v>61796</v>
      </c>
      <c r="G68" s="114"/>
      <c r="H68" s="147">
        <v>62250</v>
      </c>
      <c r="I68" s="217" t="s">
        <v>25</v>
      </c>
      <c r="J68" s="212">
        <v>4</v>
      </c>
      <c r="K68" s="139"/>
      <c r="L68" s="109">
        <f>ROUNDUP((H68-F68)/80,0)</f>
        <v>6</v>
      </c>
      <c r="M68" s="140"/>
      <c r="N68" s="140">
        <f>(H68-F68)/5280</f>
        <v>8.5984848484848483E-2</v>
      </c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</row>
    <row r="69" spans="2:33" ht="12.75" customHeight="1" x14ac:dyDescent="0.2">
      <c r="B69" s="21">
        <v>1</v>
      </c>
      <c r="D69" s="114" t="s">
        <v>577</v>
      </c>
      <c r="E69" s="114" t="s">
        <v>728</v>
      </c>
      <c r="F69" s="187">
        <v>61796</v>
      </c>
      <c r="G69" s="114"/>
      <c r="H69" s="147">
        <v>62250</v>
      </c>
      <c r="I69" s="217" t="s">
        <v>25</v>
      </c>
      <c r="J69" s="212">
        <v>4</v>
      </c>
      <c r="K69" s="141">
        <f>ROUNDUP((H69-F69)/80,0)</f>
        <v>6</v>
      </c>
      <c r="L69" s="114"/>
      <c r="M69" s="140"/>
      <c r="N69" s="140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</row>
    <row r="70" spans="2:33" ht="12.75" customHeight="1" x14ac:dyDescent="0.2">
      <c r="B70" s="21">
        <v>1</v>
      </c>
      <c r="D70" s="114" t="s">
        <v>174</v>
      </c>
      <c r="E70" s="114" t="s">
        <v>728</v>
      </c>
      <c r="F70" s="187">
        <v>61796</v>
      </c>
      <c r="G70" s="114"/>
      <c r="H70" s="147">
        <v>62250</v>
      </c>
      <c r="I70" s="217" t="s">
        <v>24</v>
      </c>
      <c r="J70" s="212">
        <v>4</v>
      </c>
      <c r="K70" s="139"/>
      <c r="L70" s="109">
        <f>ROUNDUP((H70-F70)/80,0)</f>
        <v>6</v>
      </c>
      <c r="M70" s="140"/>
      <c r="N70" s="140">
        <f>(H70-F70)/5280</f>
        <v>8.5984848484848483E-2</v>
      </c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</row>
    <row r="71" spans="2:33" ht="12.75" customHeight="1" x14ac:dyDescent="0.2">
      <c r="B71" s="21">
        <v>1</v>
      </c>
      <c r="D71" s="114" t="s">
        <v>578</v>
      </c>
      <c r="E71" s="114" t="s">
        <v>728</v>
      </c>
      <c r="F71" s="187">
        <v>61796</v>
      </c>
      <c r="G71" s="114"/>
      <c r="H71" s="147">
        <v>62250</v>
      </c>
      <c r="I71" s="217" t="s">
        <v>24</v>
      </c>
      <c r="J71" s="212">
        <v>4</v>
      </c>
      <c r="K71" s="141">
        <f>ROUNDUP((H71-F71)/80,0)</f>
        <v>6</v>
      </c>
      <c r="L71" s="114"/>
      <c r="M71" s="140"/>
      <c r="N71" s="140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</row>
    <row r="72" spans="2:33" ht="12.75" customHeight="1" x14ac:dyDescent="0.2">
      <c r="B72" s="21">
        <v>1</v>
      </c>
      <c r="D72" s="114" t="s">
        <v>177</v>
      </c>
      <c r="E72" s="114" t="s">
        <v>728</v>
      </c>
      <c r="F72" s="187">
        <v>61763</v>
      </c>
      <c r="G72" s="114"/>
      <c r="H72" s="147"/>
      <c r="I72" s="217" t="s">
        <v>25</v>
      </c>
      <c r="J72" s="212">
        <v>4</v>
      </c>
      <c r="K72" s="139"/>
      <c r="L72" s="114"/>
      <c r="M72" s="140"/>
      <c r="N72" s="140"/>
      <c r="O72" s="114"/>
      <c r="P72" s="114"/>
      <c r="Q72" s="114">
        <v>19</v>
      </c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</row>
    <row r="73" spans="2:33" ht="12.75" customHeight="1" x14ac:dyDescent="0.2">
      <c r="B73" s="21"/>
      <c r="D73" s="114"/>
      <c r="E73" s="114"/>
      <c r="F73" s="187"/>
      <c r="G73" s="114"/>
      <c r="H73" s="147"/>
      <c r="I73" s="217"/>
      <c r="J73" s="212"/>
      <c r="K73" s="139"/>
      <c r="L73" s="114"/>
      <c r="M73" s="140"/>
      <c r="N73" s="140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</row>
    <row r="74" spans="2:33" ht="12.75" customHeight="1" x14ac:dyDescent="0.2">
      <c r="B74" s="21">
        <v>1</v>
      </c>
      <c r="D74" s="114" t="s">
        <v>178</v>
      </c>
      <c r="E74" s="114" t="s">
        <v>729</v>
      </c>
      <c r="F74" s="147">
        <v>62250</v>
      </c>
      <c r="G74" s="114"/>
      <c r="H74" s="147">
        <v>62750</v>
      </c>
      <c r="I74" s="217" t="s">
        <v>25</v>
      </c>
      <c r="J74" s="212">
        <v>4</v>
      </c>
      <c r="K74" s="139"/>
      <c r="L74" s="114"/>
      <c r="M74" s="140">
        <f>(H74-F74)/5280</f>
        <v>9.4696969696969696E-2</v>
      </c>
      <c r="N74" s="140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</row>
    <row r="75" spans="2:33" ht="12.75" customHeight="1" x14ac:dyDescent="0.2">
      <c r="B75" s="21">
        <v>1</v>
      </c>
      <c r="D75" s="114" t="s">
        <v>179</v>
      </c>
      <c r="E75" s="114" t="s">
        <v>729</v>
      </c>
      <c r="F75" s="147">
        <v>62250</v>
      </c>
      <c r="G75" s="114"/>
      <c r="H75" s="147">
        <v>62750</v>
      </c>
      <c r="I75" s="217" t="s">
        <v>24</v>
      </c>
      <c r="J75" s="212">
        <v>4</v>
      </c>
      <c r="K75" s="139"/>
      <c r="L75" s="114"/>
      <c r="M75" s="140">
        <f>(H75-F75)/5280</f>
        <v>9.4696969696969696E-2</v>
      </c>
      <c r="N75" s="140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</row>
    <row r="76" spans="2:33" ht="12.75" customHeight="1" x14ac:dyDescent="0.2">
      <c r="B76" s="21">
        <v>1</v>
      </c>
      <c r="D76" s="114" t="s">
        <v>180</v>
      </c>
      <c r="E76" s="114" t="s">
        <v>729</v>
      </c>
      <c r="F76" s="147">
        <v>62250</v>
      </c>
      <c r="G76" s="114"/>
      <c r="H76" s="147">
        <v>62720</v>
      </c>
      <c r="I76" s="217" t="s">
        <v>25</v>
      </c>
      <c r="J76" s="212">
        <v>4</v>
      </c>
      <c r="K76" s="139"/>
      <c r="L76" s="109">
        <f>ROUNDUP((H76-F76)/80,0)</f>
        <v>6</v>
      </c>
      <c r="M76" s="140"/>
      <c r="N76" s="140">
        <f>(H76-F76)/5280</f>
        <v>8.9015151515151519E-2</v>
      </c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</row>
    <row r="77" spans="2:33" ht="12.75" customHeight="1" x14ac:dyDescent="0.2">
      <c r="B77" s="21">
        <v>1</v>
      </c>
      <c r="D77" s="114" t="s">
        <v>579</v>
      </c>
      <c r="E77" s="114" t="s">
        <v>729</v>
      </c>
      <c r="F77" s="147">
        <v>62250</v>
      </c>
      <c r="G77" s="114"/>
      <c r="H77" s="147">
        <v>62720</v>
      </c>
      <c r="I77" s="217" t="s">
        <v>25</v>
      </c>
      <c r="J77" s="212">
        <v>4</v>
      </c>
      <c r="K77" s="141">
        <f>ROUNDUP((H77-F77)/80,0)</f>
        <v>6</v>
      </c>
      <c r="L77" s="114"/>
      <c r="M77" s="140"/>
      <c r="N77" s="140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</row>
    <row r="78" spans="2:33" ht="12.75" customHeight="1" x14ac:dyDescent="0.2">
      <c r="B78" s="21">
        <v>1</v>
      </c>
      <c r="D78" s="114" t="s">
        <v>181</v>
      </c>
      <c r="E78" s="114" t="s">
        <v>729</v>
      </c>
      <c r="F78" s="147">
        <v>62250</v>
      </c>
      <c r="G78" s="114"/>
      <c r="H78" s="147">
        <v>62600</v>
      </c>
      <c r="I78" s="217" t="s">
        <v>24</v>
      </c>
      <c r="J78" s="212">
        <v>4</v>
      </c>
      <c r="K78" s="139"/>
      <c r="L78" s="109">
        <f>ROUNDUP((H78-F78)/80,0)</f>
        <v>5</v>
      </c>
      <c r="M78" s="140"/>
      <c r="N78" s="140">
        <f>(H78-F78)/5280</f>
        <v>6.6287878787878785E-2</v>
      </c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</row>
    <row r="79" spans="2:33" ht="12.75" customHeight="1" x14ac:dyDescent="0.2">
      <c r="B79" s="21">
        <v>1</v>
      </c>
      <c r="D79" s="114" t="s">
        <v>580</v>
      </c>
      <c r="E79" s="114" t="s">
        <v>729</v>
      </c>
      <c r="F79" s="147">
        <v>62250</v>
      </c>
      <c r="G79" s="114"/>
      <c r="H79" s="147">
        <v>62600</v>
      </c>
      <c r="I79" s="217" t="s">
        <v>24</v>
      </c>
      <c r="J79" s="212">
        <v>4</v>
      </c>
      <c r="K79" s="141">
        <f>ROUNDUP((H79-F79)/80,0)</f>
        <v>5</v>
      </c>
      <c r="L79" s="114"/>
      <c r="M79" s="140"/>
      <c r="N79" s="140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</row>
    <row r="80" spans="2:33" ht="12.75" customHeight="1" x14ac:dyDescent="0.2">
      <c r="B80" s="21">
        <v>1</v>
      </c>
      <c r="D80" s="114" t="s">
        <v>182</v>
      </c>
      <c r="E80" s="114" t="s">
        <v>729</v>
      </c>
      <c r="F80" s="147">
        <v>62720</v>
      </c>
      <c r="G80" s="114"/>
      <c r="H80" s="147">
        <v>62750</v>
      </c>
      <c r="I80" s="217" t="s">
        <v>35</v>
      </c>
      <c r="J80" s="212">
        <v>4</v>
      </c>
      <c r="K80" s="139"/>
      <c r="L80" s="109">
        <f>ROUNDUP((H80-F80)/80,0)</f>
        <v>1</v>
      </c>
      <c r="M80" s="140"/>
      <c r="N80" s="140">
        <f>(H80-F80)/5280</f>
        <v>5.681818181818182E-3</v>
      </c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</row>
    <row r="81" spans="2:33" ht="12.75" customHeight="1" x14ac:dyDescent="0.2">
      <c r="B81" s="21">
        <v>1</v>
      </c>
      <c r="D81" s="114" t="s">
        <v>581</v>
      </c>
      <c r="E81" s="114" t="s">
        <v>729</v>
      </c>
      <c r="F81" s="147">
        <v>62720</v>
      </c>
      <c r="G81" s="114"/>
      <c r="H81" s="147">
        <v>62750</v>
      </c>
      <c r="I81" s="217" t="s">
        <v>35</v>
      </c>
      <c r="J81" s="212">
        <v>4</v>
      </c>
      <c r="K81" s="141">
        <f>ROUNDUP((H81-F81)/80,0)</f>
        <v>1</v>
      </c>
      <c r="L81" s="114"/>
      <c r="M81" s="140"/>
      <c r="N81" s="140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</row>
    <row r="82" spans="2:33" ht="12.75" customHeight="1" x14ac:dyDescent="0.2">
      <c r="B82" s="21"/>
      <c r="D82" s="114"/>
      <c r="E82" s="114"/>
      <c r="F82" s="158"/>
      <c r="G82" s="114"/>
      <c r="H82" s="147"/>
      <c r="I82" s="218"/>
      <c r="J82" s="212"/>
      <c r="K82" s="139"/>
      <c r="L82" s="109"/>
      <c r="M82" s="140"/>
      <c r="N82" s="140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</row>
    <row r="83" spans="2:33" ht="12.75" customHeight="1" thickBot="1" x14ac:dyDescent="0.25">
      <c r="B83" s="21"/>
      <c r="D83" s="114"/>
      <c r="E83" s="114"/>
      <c r="F83" s="190"/>
      <c r="G83" s="114"/>
      <c r="H83" s="147"/>
      <c r="I83" s="219"/>
      <c r="J83" s="213"/>
      <c r="K83" s="141"/>
      <c r="L83" s="114"/>
      <c r="M83" s="110"/>
      <c r="N83" s="140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</row>
    <row r="84" spans="2:33" ht="12.75" customHeight="1" x14ac:dyDescent="0.2">
      <c r="B84" s="5" t="s">
        <v>11</v>
      </c>
      <c r="D84" s="271" t="s">
        <v>767</v>
      </c>
      <c r="E84" s="272"/>
      <c r="F84" s="272"/>
      <c r="G84" s="272"/>
      <c r="H84" s="272"/>
      <c r="I84" s="272"/>
      <c r="J84" s="272"/>
      <c r="K84" s="173">
        <f>SUM(K24:K83)</f>
        <v>69</v>
      </c>
      <c r="L84" s="173">
        <f t="shared" ref="L84:AG84" si="3">SUM(L24:L83)</f>
        <v>69</v>
      </c>
      <c r="M84" s="173">
        <f t="shared" si="3"/>
        <v>1.0842803030303032</v>
      </c>
      <c r="N84" s="173">
        <f t="shared" si="3"/>
        <v>0.93522727272727268</v>
      </c>
      <c r="O84" s="173">
        <f t="shared" si="3"/>
        <v>328</v>
      </c>
      <c r="P84" s="173">
        <f t="shared" si="3"/>
        <v>24</v>
      </c>
      <c r="Q84" s="173">
        <f t="shared" si="3"/>
        <v>282</v>
      </c>
      <c r="R84" s="173">
        <f t="shared" si="3"/>
        <v>50</v>
      </c>
      <c r="S84" s="173">
        <f t="shared" si="3"/>
        <v>207</v>
      </c>
      <c r="T84" s="173">
        <f t="shared" si="3"/>
        <v>0</v>
      </c>
      <c r="U84" s="173">
        <f t="shared" si="3"/>
        <v>2</v>
      </c>
      <c r="V84" s="173">
        <f t="shared" si="3"/>
        <v>0</v>
      </c>
      <c r="W84" s="173">
        <f t="shared" si="3"/>
        <v>0</v>
      </c>
      <c r="X84" s="173">
        <f t="shared" si="3"/>
        <v>0</v>
      </c>
      <c r="Y84" s="173">
        <f t="shared" si="3"/>
        <v>0</v>
      </c>
      <c r="Z84" s="173">
        <f t="shared" si="3"/>
        <v>0</v>
      </c>
      <c r="AA84" s="173">
        <f t="shared" si="3"/>
        <v>0</v>
      </c>
      <c r="AB84" s="173">
        <f t="shared" si="3"/>
        <v>0</v>
      </c>
      <c r="AC84" s="173">
        <f t="shared" si="3"/>
        <v>0</v>
      </c>
      <c r="AD84" s="173">
        <f t="shared" si="3"/>
        <v>0</v>
      </c>
      <c r="AE84" s="173">
        <f t="shared" si="3"/>
        <v>0</v>
      </c>
      <c r="AF84" s="173">
        <f t="shared" si="3"/>
        <v>0</v>
      </c>
      <c r="AG84" s="173">
        <f t="shared" si="3"/>
        <v>0</v>
      </c>
    </row>
    <row r="85" spans="2:33" ht="12.75" customHeight="1" x14ac:dyDescent="0.2">
      <c r="D85" s="191" t="s">
        <v>701</v>
      </c>
      <c r="E85" s="192"/>
      <c r="F85" s="192"/>
      <c r="G85" s="192"/>
      <c r="H85" s="192"/>
      <c r="I85" s="214"/>
      <c r="J85" s="214"/>
      <c r="K85" s="193">
        <f>SUMIF(J24:J83, 1, K24:K83)</f>
        <v>0</v>
      </c>
      <c r="L85" s="193">
        <f t="shared" ref="L85:AG85" si="4">SUMIF($J24:$J83, 1, L24:L83)</f>
        <v>0</v>
      </c>
      <c r="M85" s="193">
        <f t="shared" si="4"/>
        <v>0</v>
      </c>
      <c r="N85" s="193">
        <f t="shared" si="4"/>
        <v>0</v>
      </c>
      <c r="O85" s="193">
        <f t="shared" si="4"/>
        <v>0</v>
      </c>
      <c r="P85" s="193">
        <f t="shared" si="4"/>
        <v>0</v>
      </c>
      <c r="Q85" s="193">
        <f t="shared" si="4"/>
        <v>0</v>
      </c>
      <c r="R85" s="193">
        <f t="shared" si="4"/>
        <v>0</v>
      </c>
      <c r="S85" s="193">
        <f t="shared" si="4"/>
        <v>0</v>
      </c>
      <c r="T85" s="193">
        <f t="shared" si="4"/>
        <v>0</v>
      </c>
      <c r="U85" s="193">
        <f t="shared" si="4"/>
        <v>0</v>
      </c>
      <c r="V85" s="193">
        <f t="shared" si="4"/>
        <v>0</v>
      </c>
      <c r="W85" s="193">
        <f t="shared" si="4"/>
        <v>0</v>
      </c>
      <c r="X85" s="193">
        <f t="shared" si="4"/>
        <v>0</v>
      </c>
      <c r="Y85" s="193">
        <f t="shared" si="4"/>
        <v>0</v>
      </c>
      <c r="Z85" s="193">
        <f t="shared" si="4"/>
        <v>0</v>
      </c>
      <c r="AA85" s="193">
        <f t="shared" si="4"/>
        <v>0</v>
      </c>
      <c r="AB85" s="193">
        <f t="shared" si="4"/>
        <v>0</v>
      </c>
      <c r="AC85" s="193">
        <f t="shared" si="4"/>
        <v>0</v>
      </c>
      <c r="AD85" s="193">
        <f t="shared" si="4"/>
        <v>0</v>
      </c>
      <c r="AE85" s="193">
        <f t="shared" si="4"/>
        <v>0</v>
      </c>
      <c r="AF85" s="193">
        <f t="shared" si="4"/>
        <v>0</v>
      </c>
      <c r="AG85" s="193">
        <f t="shared" si="4"/>
        <v>0</v>
      </c>
    </row>
    <row r="86" spans="2:33" ht="12.75" customHeight="1" x14ac:dyDescent="0.2">
      <c r="D86" s="191" t="s">
        <v>702</v>
      </c>
      <c r="E86" s="192"/>
      <c r="F86" s="192"/>
      <c r="G86" s="192"/>
      <c r="H86" s="192"/>
      <c r="I86" s="214"/>
      <c r="J86" s="214"/>
      <c r="K86" s="193">
        <f>SUMIF(J24:J83, 4, K24:K83)</f>
        <v>69</v>
      </c>
      <c r="L86" s="193">
        <f t="shared" ref="L86:AG86" si="5">SUMIF($J24:$J83, 4, L24:L83)</f>
        <v>69</v>
      </c>
      <c r="M86" s="193">
        <f t="shared" si="5"/>
        <v>1.0842803030303032</v>
      </c>
      <c r="N86" s="193">
        <f t="shared" si="5"/>
        <v>0.93522727272727268</v>
      </c>
      <c r="O86" s="193">
        <f t="shared" si="5"/>
        <v>328</v>
      </c>
      <c r="P86" s="193">
        <f t="shared" si="5"/>
        <v>24</v>
      </c>
      <c r="Q86" s="193">
        <f t="shared" si="5"/>
        <v>282</v>
      </c>
      <c r="R86" s="193">
        <f t="shared" si="5"/>
        <v>50</v>
      </c>
      <c r="S86" s="193">
        <f t="shared" si="5"/>
        <v>207</v>
      </c>
      <c r="T86" s="193">
        <f t="shared" si="5"/>
        <v>0</v>
      </c>
      <c r="U86" s="193">
        <f t="shared" si="5"/>
        <v>2</v>
      </c>
      <c r="V86" s="193">
        <f t="shared" si="5"/>
        <v>0</v>
      </c>
      <c r="W86" s="193">
        <f t="shared" si="5"/>
        <v>0</v>
      </c>
      <c r="X86" s="193">
        <f t="shared" si="5"/>
        <v>0</v>
      </c>
      <c r="Y86" s="193">
        <f t="shared" si="5"/>
        <v>0</v>
      </c>
      <c r="Z86" s="193">
        <f t="shared" si="5"/>
        <v>0</v>
      </c>
      <c r="AA86" s="193">
        <f t="shared" si="5"/>
        <v>0</v>
      </c>
      <c r="AB86" s="193">
        <f t="shared" si="5"/>
        <v>0</v>
      </c>
      <c r="AC86" s="193">
        <f t="shared" si="5"/>
        <v>0</v>
      </c>
      <c r="AD86" s="193">
        <f t="shared" si="5"/>
        <v>0</v>
      </c>
      <c r="AE86" s="193">
        <f t="shared" si="5"/>
        <v>0</v>
      </c>
      <c r="AF86" s="193">
        <f t="shared" si="5"/>
        <v>0</v>
      </c>
      <c r="AG86" s="193">
        <f t="shared" si="5"/>
        <v>0</v>
      </c>
    </row>
    <row r="87" spans="2:33" ht="12.75" customHeight="1" thickBot="1" x14ac:dyDescent="0.25">
      <c r="D87" s="191" t="s">
        <v>703</v>
      </c>
      <c r="E87" s="192"/>
      <c r="F87" s="192"/>
      <c r="G87" s="192"/>
      <c r="H87" s="192"/>
      <c r="I87" s="214"/>
      <c r="J87" s="214"/>
      <c r="K87" s="193">
        <f>SUMIF(J24:J83, 6, K24:K83)</f>
        <v>0</v>
      </c>
      <c r="L87" s="193">
        <f t="shared" ref="L87:AG87" si="6">SUMIF($J24:$J83, 6, L24:L83)</f>
        <v>0</v>
      </c>
      <c r="M87" s="193">
        <f t="shared" si="6"/>
        <v>0</v>
      </c>
      <c r="N87" s="193">
        <f t="shared" si="6"/>
        <v>0</v>
      </c>
      <c r="O87" s="193">
        <f t="shared" si="6"/>
        <v>0</v>
      </c>
      <c r="P87" s="193">
        <f t="shared" si="6"/>
        <v>0</v>
      </c>
      <c r="Q87" s="193">
        <f t="shared" si="6"/>
        <v>0</v>
      </c>
      <c r="R87" s="193">
        <f t="shared" si="6"/>
        <v>0</v>
      </c>
      <c r="S87" s="193">
        <f t="shared" si="6"/>
        <v>0</v>
      </c>
      <c r="T87" s="193">
        <f t="shared" si="6"/>
        <v>0</v>
      </c>
      <c r="U87" s="193">
        <f t="shared" si="6"/>
        <v>0</v>
      </c>
      <c r="V87" s="193">
        <f t="shared" si="6"/>
        <v>0</v>
      </c>
      <c r="W87" s="193">
        <f t="shared" si="6"/>
        <v>0</v>
      </c>
      <c r="X87" s="193">
        <f t="shared" si="6"/>
        <v>0</v>
      </c>
      <c r="Y87" s="193">
        <f t="shared" si="6"/>
        <v>0</v>
      </c>
      <c r="Z87" s="193">
        <f t="shared" si="6"/>
        <v>0</v>
      </c>
      <c r="AA87" s="193">
        <f t="shared" si="6"/>
        <v>0</v>
      </c>
      <c r="AB87" s="193">
        <f t="shared" si="6"/>
        <v>0</v>
      </c>
      <c r="AC87" s="193">
        <f t="shared" si="6"/>
        <v>0</v>
      </c>
      <c r="AD87" s="193">
        <f t="shared" si="6"/>
        <v>0</v>
      </c>
      <c r="AE87" s="193">
        <f t="shared" si="6"/>
        <v>0</v>
      </c>
      <c r="AF87" s="193">
        <f t="shared" si="6"/>
        <v>0</v>
      </c>
      <c r="AG87" s="193">
        <f t="shared" si="6"/>
        <v>0</v>
      </c>
    </row>
    <row r="88" spans="2:33" ht="12.75" customHeight="1" thickBot="1" x14ac:dyDescent="0.25">
      <c r="B88" s="20" t="s">
        <v>9</v>
      </c>
      <c r="D88" s="277" t="str">
        <f>"SUBSUMMARY SHEET " &amp; B89</f>
        <v>SUBSUMMARY SHEET 2</v>
      </c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194"/>
      <c r="AG88" s="194"/>
    </row>
    <row r="89" spans="2:33" ht="12.75" customHeight="1" thickBot="1" x14ac:dyDescent="0.25">
      <c r="B89" s="24">
        <v>2</v>
      </c>
      <c r="D89" s="279" t="s">
        <v>7</v>
      </c>
      <c r="E89" s="279"/>
      <c r="F89" s="279"/>
      <c r="G89" s="279"/>
      <c r="H89" s="279"/>
      <c r="I89" s="209"/>
      <c r="J89" s="209"/>
      <c r="K89" s="183" t="s">
        <v>26</v>
      </c>
      <c r="L89" s="183" t="s">
        <v>27</v>
      </c>
      <c r="M89" s="183" t="s">
        <v>693</v>
      </c>
      <c r="N89" s="183" t="s">
        <v>694</v>
      </c>
      <c r="O89" s="183" t="s">
        <v>40</v>
      </c>
      <c r="P89" s="183" t="s">
        <v>42</v>
      </c>
      <c r="Q89" s="183" t="s">
        <v>44</v>
      </c>
      <c r="R89" s="183" t="s">
        <v>705</v>
      </c>
      <c r="S89" s="183" t="s">
        <v>47</v>
      </c>
      <c r="T89" s="183" t="s">
        <v>49</v>
      </c>
      <c r="U89" s="183" t="s">
        <v>52</v>
      </c>
      <c r="V89" s="183" t="s">
        <v>53</v>
      </c>
      <c r="W89" s="183" t="s">
        <v>55</v>
      </c>
      <c r="X89" s="183" t="s">
        <v>57</v>
      </c>
      <c r="Y89" s="183" t="s">
        <v>63</v>
      </c>
      <c r="Z89" s="183" t="s">
        <v>65</v>
      </c>
      <c r="AA89" s="183" t="s">
        <v>707</v>
      </c>
      <c r="AB89" s="183" t="s">
        <v>709</v>
      </c>
      <c r="AC89" s="183" t="s">
        <v>70</v>
      </c>
      <c r="AD89" s="183" t="s">
        <v>71</v>
      </c>
      <c r="AE89" s="183" t="s">
        <v>72</v>
      </c>
      <c r="AF89" s="183" t="s">
        <v>73</v>
      </c>
      <c r="AG89" s="183" t="s">
        <v>688</v>
      </c>
    </row>
    <row r="90" spans="2:33" ht="12.75" customHeight="1" thickBot="1" x14ac:dyDescent="0.25">
      <c r="D90" s="280" t="s">
        <v>8</v>
      </c>
      <c r="E90" s="280"/>
      <c r="F90" s="280"/>
      <c r="G90" s="280"/>
      <c r="H90" s="280"/>
      <c r="I90" s="210"/>
      <c r="J90" s="210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</row>
    <row r="91" spans="2:33" ht="12.75" customHeight="1" x14ac:dyDescent="0.2">
      <c r="B91" s="250" t="s">
        <v>10</v>
      </c>
      <c r="D91" s="253" t="s">
        <v>20</v>
      </c>
      <c r="E91" s="253" t="s">
        <v>21</v>
      </c>
      <c r="F91" s="256" t="s">
        <v>0</v>
      </c>
      <c r="G91" s="257"/>
      <c r="H91" s="257"/>
      <c r="I91" s="262" t="s">
        <v>23</v>
      </c>
      <c r="J91" s="274" t="s">
        <v>704</v>
      </c>
      <c r="K91" s="161" t="str">
        <f>IF(OR(TRIM(K89)=0,TRIM(K89)=""),"",IF(IFERROR(TRIM(INDEX(QryItemNamed,MATCH(TRIM(K89),ITEM,0),2)),"")="Y","SPECIAL",LEFT(IFERROR(TRIM(INDEX(ITEM,MATCH(TRIM(K89),ITEM,0))),""),3)))</f>
        <v>621</v>
      </c>
      <c r="L91" s="145" t="str">
        <f>IF(OR(TRIM(L89)=0,TRIM(L89)=""),"",IF(IFERROR(TRIM(INDEX(QryItemNamed,MATCH(TRIM(L89),ITEM,0),2)),"")="Y","SPECIAL",LEFT(IFERROR(TRIM(INDEX(ITEM,MATCH(TRIM(L89),ITEM,0))),""),3)))</f>
        <v>621</v>
      </c>
      <c r="M91" s="145">
        <v>642</v>
      </c>
      <c r="N91" s="145">
        <v>644</v>
      </c>
      <c r="O91" s="145">
        <v>644</v>
      </c>
      <c r="P91" s="145">
        <v>644</v>
      </c>
      <c r="Q91" s="145">
        <v>644</v>
      </c>
      <c r="R91" s="145">
        <v>644</v>
      </c>
      <c r="S91" s="145">
        <v>644</v>
      </c>
      <c r="T91" s="145" t="s">
        <v>124</v>
      </c>
      <c r="U91" s="145">
        <v>644</v>
      </c>
      <c r="V91" s="145">
        <v>644</v>
      </c>
      <c r="W91" s="145">
        <v>644</v>
      </c>
      <c r="X91" s="145">
        <v>644</v>
      </c>
      <c r="Y91" s="145">
        <v>644</v>
      </c>
      <c r="Z91" s="145">
        <v>644</v>
      </c>
      <c r="AA91" s="145">
        <v>646</v>
      </c>
      <c r="AB91" s="145">
        <v>646</v>
      </c>
      <c r="AC91" s="145" t="s">
        <v>124</v>
      </c>
      <c r="AD91" s="145" t="s">
        <v>675</v>
      </c>
      <c r="AE91" s="145" t="s">
        <v>675</v>
      </c>
      <c r="AF91" s="145" t="s">
        <v>675</v>
      </c>
      <c r="AG91" s="145">
        <v>874</v>
      </c>
    </row>
    <row r="92" spans="2:33" ht="12.75" customHeight="1" x14ac:dyDescent="0.2">
      <c r="B92" s="251"/>
      <c r="D92" s="254"/>
      <c r="E92" s="254"/>
      <c r="F92" s="258"/>
      <c r="G92" s="259"/>
      <c r="H92" s="259"/>
      <c r="I92" s="263"/>
      <c r="J92" s="275"/>
      <c r="K92" s="265" t="str">
        <f>IF(OR(TRIM(K89)=0,TRIM(K89)=""),IF(K90="","",K90),IF(IFERROR(TRIM(INDEX(QryItemNamed,MATCH(TRIM(K89),ITEM,0),2)),"")="Y",TRIM(RIGHT(IFERROR(TRIM(INDEX(QryItemNamed,MATCH(TRIM(K89),ITEM,0),4)),"123456789012"),LEN(IFERROR(TRIM(INDEX(QryItemNamed,MATCH(TRIM(K89),ITEM,0),4)),"123456789012"))-9))&amp;K90,IFERROR(TRIM(INDEX(QryItemNamed,MATCH(TRIM(K89),ITEM,0),4))&amp;K90,"ITEM CODE DOES NOT EXIST IN ITEM MASTER")))</f>
        <v>RPM</v>
      </c>
      <c r="L92" s="244" t="str">
        <f>IF(OR(TRIM(L89)=0,TRIM(L89)=""),IF(L90="","",L90),IF(IFERROR(TRIM(INDEX(QryItemNamed,MATCH(TRIM(L89),ITEM,0),2)),"")="Y",TRIM(RIGHT(IFERROR(TRIM(INDEX(QryItemNamed,MATCH(TRIM(L89),ITEM,0),4)),"123456789012"),LEN(IFERROR(TRIM(INDEX(QryItemNamed,MATCH(TRIM(L89),ITEM,0),4)),"123456789012"))-9))&amp;L90,IFERROR(TRIM(INDEX(QryItemNamed,MATCH(TRIM(L89),ITEM,0),4))&amp;L90,"ITEM CODE DOES NOT EXIST IN ITEM MASTER")))</f>
        <v>RAISED PAVEMENT MARKER REMOVED</v>
      </c>
      <c r="M92" s="244" t="s">
        <v>692</v>
      </c>
      <c r="N92" s="278" t="s">
        <v>695</v>
      </c>
      <c r="O92" s="278" t="s">
        <v>41</v>
      </c>
      <c r="P92" s="278" t="s">
        <v>43</v>
      </c>
      <c r="Q92" s="278" t="s">
        <v>45</v>
      </c>
      <c r="R92" s="278" t="s">
        <v>706</v>
      </c>
      <c r="S92" s="244" t="s">
        <v>48</v>
      </c>
      <c r="T92" s="244" t="s">
        <v>50</v>
      </c>
      <c r="U92" s="244" t="s">
        <v>59</v>
      </c>
      <c r="V92" s="244" t="s">
        <v>54</v>
      </c>
      <c r="W92" s="244" t="s">
        <v>56</v>
      </c>
      <c r="X92" s="268" t="s">
        <v>58</v>
      </c>
      <c r="Y92" s="268" t="s">
        <v>64</v>
      </c>
      <c r="Z92" s="268" t="s">
        <v>66</v>
      </c>
      <c r="AA92" s="244" t="s">
        <v>708</v>
      </c>
      <c r="AB92" s="244" t="s">
        <v>32</v>
      </c>
      <c r="AC92" s="244" t="s">
        <v>74</v>
      </c>
      <c r="AD92" s="244" t="s">
        <v>672</v>
      </c>
      <c r="AE92" s="244" t="s">
        <v>671</v>
      </c>
      <c r="AF92" s="244" t="s">
        <v>670</v>
      </c>
      <c r="AG92" s="244" t="s">
        <v>689</v>
      </c>
    </row>
    <row r="93" spans="2:33" ht="12.75" customHeight="1" x14ac:dyDescent="0.2">
      <c r="B93" s="251"/>
      <c r="D93" s="254"/>
      <c r="E93" s="254"/>
      <c r="F93" s="258"/>
      <c r="G93" s="259"/>
      <c r="H93" s="259"/>
      <c r="I93" s="263"/>
      <c r="J93" s="275"/>
      <c r="K93" s="266"/>
      <c r="L93" s="245"/>
      <c r="M93" s="245"/>
      <c r="N93" s="278"/>
      <c r="O93" s="278"/>
      <c r="P93" s="278"/>
      <c r="Q93" s="278"/>
      <c r="R93" s="278"/>
      <c r="S93" s="245"/>
      <c r="T93" s="245"/>
      <c r="U93" s="245"/>
      <c r="V93" s="245"/>
      <c r="W93" s="245"/>
      <c r="X93" s="269"/>
      <c r="Y93" s="269"/>
      <c r="Z93" s="269"/>
      <c r="AA93" s="245"/>
      <c r="AB93" s="245"/>
      <c r="AC93" s="245"/>
      <c r="AD93" s="245"/>
      <c r="AE93" s="245"/>
      <c r="AF93" s="245"/>
      <c r="AG93" s="245"/>
    </row>
    <row r="94" spans="2:33" ht="12.75" customHeight="1" x14ac:dyDescent="0.2">
      <c r="B94" s="251"/>
      <c r="D94" s="254"/>
      <c r="E94" s="254"/>
      <c r="F94" s="258"/>
      <c r="G94" s="259"/>
      <c r="H94" s="259"/>
      <c r="I94" s="263"/>
      <c r="J94" s="275"/>
      <c r="K94" s="266"/>
      <c r="L94" s="245"/>
      <c r="M94" s="245"/>
      <c r="N94" s="278"/>
      <c r="O94" s="278"/>
      <c r="P94" s="278"/>
      <c r="Q94" s="278"/>
      <c r="R94" s="278"/>
      <c r="S94" s="245"/>
      <c r="T94" s="245"/>
      <c r="U94" s="245"/>
      <c r="V94" s="245"/>
      <c r="W94" s="245"/>
      <c r="X94" s="269"/>
      <c r="Y94" s="269"/>
      <c r="Z94" s="269"/>
      <c r="AA94" s="245"/>
      <c r="AB94" s="245"/>
      <c r="AC94" s="245"/>
      <c r="AD94" s="245"/>
      <c r="AE94" s="245"/>
      <c r="AF94" s="245"/>
      <c r="AG94" s="245"/>
    </row>
    <row r="95" spans="2:33" ht="12.75" customHeight="1" x14ac:dyDescent="0.2">
      <c r="B95" s="251"/>
      <c r="D95" s="254"/>
      <c r="E95" s="254"/>
      <c r="F95" s="258"/>
      <c r="G95" s="259"/>
      <c r="H95" s="259"/>
      <c r="I95" s="263"/>
      <c r="J95" s="275"/>
      <c r="K95" s="266"/>
      <c r="L95" s="245"/>
      <c r="M95" s="245"/>
      <c r="N95" s="278"/>
      <c r="O95" s="278"/>
      <c r="P95" s="278"/>
      <c r="Q95" s="278"/>
      <c r="R95" s="278"/>
      <c r="S95" s="245"/>
      <c r="T95" s="245"/>
      <c r="U95" s="245"/>
      <c r="V95" s="245"/>
      <c r="W95" s="245"/>
      <c r="X95" s="269"/>
      <c r="Y95" s="269"/>
      <c r="Z95" s="269"/>
      <c r="AA95" s="245"/>
      <c r="AB95" s="245"/>
      <c r="AC95" s="245"/>
      <c r="AD95" s="245"/>
      <c r="AE95" s="245"/>
      <c r="AF95" s="245"/>
      <c r="AG95" s="245"/>
    </row>
    <row r="96" spans="2:33" ht="12.75" customHeight="1" x14ac:dyDescent="0.2">
      <c r="B96" s="251"/>
      <c r="D96" s="254"/>
      <c r="E96" s="254"/>
      <c r="F96" s="258"/>
      <c r="G96" s="259"/>
      <c r="H96" s="259"/>
      <c r="I96" s="263"/>
      <c r="J96" s="275"/>
      <c r="K96" s="266"/>
      <c r="L96" s="245"/>
      <c r="M96" s="245"/>
      <c r="N96" s="278"/>
      <c r="O96" s="278"/>
      <c r="P96" s="278"/>
      <c r="Q96" s="278"/>
      <c r="R96" s="278"/>
      <c r="S96" s="245"/>
      <c r="T96" s="245"/>
      <c r="U96" s="245"/>
      <c r="V96" s="245"/>
      <c r="W96" s="245"/>
      <c r="X96" s="269"/>
      <c r="Y96" s="269"/>
      <c r="Z96" s="269"/>
      <c r="AA96" s="245"/>
      <c r="AB96" s="245"/>
      <c r="AC96" s="245"/>
      <c r="AD96" s="245"/>
      <c r="AE96" s="245"/>
      <c r="AF96" s="245"/>
      <c r="AG96" s="245"/>
    </row>
    <row r="97" spans="2:33" ht="12.75" customHeight="1" x14ac:dyDescent="0.2">
      <c r="B97" s="251"/>
      <c r="D97" s="254"/>
      <c r="E97" s="254"/>
      <c r="F97" s="258"/>
      <c r="G97" s="259"/>
      <c r="H97" s="259"/>
      <c r="I97" s="263"/>
      <c r="J97" s="275"/>
      <c r="K97" s="266"/>
      <c r="L97" s="245"/>
      <c r="M97" s="245"/>
      <c r="N97" s="278"/>
      <c r="O97" s="278"/>
      <c r="P97" s="278"/>
      <c r="Q97" s="278"/>
      <c r="R97" s="278"/>
      <c r="S97" s="245"/>
      <c r="T97" s="245"/>
      <c r="U97" s="245"/>
      <c r="V97" s="245"/>
      <c r="W97" s="245"/>
      <c r="X97" s="269"/>
      <c r="Y97" s="269"/>
      <c r="Z97" s="269"/>
      <c r="AA97" s="245"/>
      <c r="AB97" s="245"/>
      <c r="AC97" s="245"/>
      <c r="AD97" s="245"/>
      <c r="AE97" s="245"/>
      <c r="AF97" s="245"/>
      <c r="AG97" s="245"/>
    </row>
    <row r="98" spans="2:33" ht="12.75" customHeight="1" x14ac:dyDescent="0.2">
      <c r="B98" s="251"/>
      <c r="D98" s="254"/>
      <c r="E98" s="254"/>
      <c r="F98" s="258"/>
      <c r="G98" s="259"/>
      <c r="H98" s="259"/>
      <c r="I98" s="263"/>
      <c r="J98" s="275"/>
      <c r="K98" s="266"/>
      <c r="L98" s="245"/>
      <c r="M98" s="245"/>
      <c r="N98" s="278"/>
      <c r="O98" s="278"/>
      <c r="P98" s="278"/>
      <c r="Q98" s="278"/>
      <c r="R98" s="278"/>
      <c r="S98" s="245"/>
      <c r="T98" s="245"/>
      <c r="U98" s="245"/>
      <c r="V98" s="245"/>
      <c r="W98" s="245"/>
      <c r="X98" s="269"/>
      <c r="Y98" s="269"/>
      <c r="Z98" s="269"/>
      <c r="AA98" s="245"/>
      <c r="AB98" s="245"/>
      <c r="AC98" s="245"/>
      <c r="AD98" s="245"/>
      <c r="AE98" s="245"/>
      <c r="AF98" s="245"/>
      <c r="AG98" s="245"/>
    </row>
    <row r="99" spans="2:33" ht="12.75" customHeight="1" x14ac:dyDescent="0.2">
      <c r="B99" s="251"/>
      <c r="D99" s="254"/>
      <c r="E99" s="254"/>
      <c r="F99" s="258"/>
      <c r="G99" s="259"/>
      <c r="H99" s="259"/>
      <c r="I99" s="263"/>
      <c r="J99" s="275"/>
      <c r="K99" s="266"/>
      <c r="L99" s="245"/>
      <c r="M99" s="245"/>
      <c r="N99" s="278"/>
      <c r="O99" s="278"/>
      <c r="P99" s="278"/>
      <c r="Q99" s="278"/>
      <c r="R99" s="278"/>
      <c r="S99" s="245"/>
      <c r="T99" s="245"/>
      <c r="U99" s="245"/>
      <c r="V99" s="245"/>
      <c r="W99" s="245"/>
      <c r="X99" s="269"/>
      <c r="Y99" s="269"/>
      <c r="Z99" s="269"/>
      <c r="AA99" s="245"/>
      <c r="AB99" s="245"/>
      <c r="AC99" s="245"/>
      <c r="AD99" s="245"/>
      <c r="AE99" s="245"/>
      <c r="AF99" s="245"/>
      <c r="AG99" s="245"/>
    </row>
    <row r="100" spans="2:33" ht="12.75" customHeight="1" x14ac:dyDescent="0.2">
      <c r="B100" s="251"/>
      <c r="D100" s="254"/>
      <c r="E100" s="254"/>
      <c r="F100" s="258"/>
      <c r="G100" s="259"/>
      <c r="H100" s="259"/>
      <c r="I100" s="263"/>
      <c r="J100" s="275"/>
      <c r="K100" s="266"/>
      <c r="L100" s="245"/>
      <c r="M100" s="245"/>
      <c r="N100" s="278"/>
      <c r="O100" s="278"/>
      <c r="P100" s="278"/>
      <c r="Q100" s="278"/>
      <c r="R100" s="278"/>
      <c r="S100" s="245"/>
      <c r="T100" s="245"/>
      <c r="U100" s="245"/>
      <c r="V100" s="245"/>
      <c r="W100" s="245"/>
      <c r="X100" s="269"/>
      <c r="Y100" s="269"/>
      <c r="Z100" s="269"/>
      <c r="AA100" s="245"/>
      <c r="AB100" s="245"/>
      <c r="AC100" s="245"/>
      <c r="AD100" s="245"/>
      <c r="AE100" s="245"/>
      <c r="AF100" s="245"/>
      <c r="AG100" s="245"/>
    </row>
    <row r="101" spans="2:33" ht="12.75" customHeight="1" x14ac:dyDescent="0.2">
      <c r="B101" s="251"/>
      <c r="D101" s="254"/>
      <c r="E101" s="254"/>
      <c r="F101" s="258"/>
      <c r="G101" s="259"/>
      <c r="H101" s="259"/>
      <c r="I101" s="263"/>
      <c r="J101" s="275"/>
      <c r="K101" s="266"/>
      <c r="L101" s="245"/>
      <c r="M101" s="245"/>
      <c r="N101" s="278"/>
      <c r="O101" s="278"/>
      <c r="P101" s="278"/>
      <c r="Q101" s="278"/>
      <c r="R101" s="278"/>
      <c r="S101" s="245"/>
      <c r="T101" s="245"/>
      <c r="U101" s="245"/>
      <c r="V101" s="245"/>
      <c r="W101" s="245"/>
      <c r="X101" s="269"/>
      <c r="Y101" s="269"/>
      <c r="Z101" s="269"/>
      <c r="AA101" s="245"/>
      <c r="AB101" s="245"/>
      <c r="AC101" s="245"/>
      <c r="AD101" s="245"/>
      <c r="AE101" s="245"/>
      <c r="AF101" s="245"/>
      <c r="AG101" s="245"/>
    </row>
    <row r="102" spans="2:33" ht="12.75" customHeight="1" x14ac:dyDescent="0.2">
      <c r="B102" s="251"/>
      <c r="D102" s="254"/>
      <c r="E102" s="254"/>
      <c r="F102" s="258"/>
      <c r="G102" s="259"/>
      <c r="H102" s="259"/>
      <c r="I102" s="263"/>
      <c r="J102" s="275"/>
      <c r="K102" s="266"/>
      <c r="L102" s="245"/>
      <c r="M102" s="245"/>
      <c r="N102" s="278"/>
      <c r="O102" s="278"/>
      <c r="P102" s="278"/>
      <c r="Q102" s="278"/>
      <c r="R102" s="278"/>
      <c r="S102" s="245"/>
      <c r="T102" s="245"/>
      <c r="U102" s="245"/>
      <c r="V102" s="245"/>
      <c r="W102" s="245"/>
      <c r="X102" s="269"/>
      <c r="Y102" s="269"/>
      <c r="Z102" s="269"/>
      <c r="AA102" s="245"/>
      <c r="AB102" s="245"/>
      <c r="AC102" s="245"/>
      <c r="AD102" s="245"/>
      <c r="AE102" s="245"/>
      <c r="AF102" s="245"/>
      <c r="AG102" s="245"/>
    </row>
    <row r="103" spans="2:33" ht="12.75" customHeight="1" x14ac:dyDescent="0.2">
      <c r="B103" s="251"/>
      <c r="D103" s="254"/>
      <c r="E103" s="254"/>
      <c r="F103" s="258"/>
      <c r="G103" s="259"/>
      <c r="H103" s="259"/>
      <c r="I103" s="263"/>
      <c r="J103" s="275"/>
      <c r="K103" s="267"/>
      <c r="L103" s="246"/>
      <c r="M103" s="246"/>
      <c r="N103" s="278"/>
      <c r="O103" s="278"/>
      <c r="P103" s="278"/>
      <c r="Q103" s="278"/>
      <c r="R103" s="278"/>
      <c r="S103" s="246"/>
      <c r="T103" s="246"/>
      <c r="U103" s="246"/>
      <c r="V103" s="246"/>
      <c r="W103" s="246"/>
      <c r="X103" s="270"/>
      <c r="Y103" s="270"/>
      <c r="Z103" s="270"/>
      <c r="AA103" s="246"/>
      <c r="AB103" s="246"/>
      <c r="AC103" s="246"/>
      <c r="AD103" s="246"/>
      <c r="AE103" s="246"/>
      <c r="AF103" s="246"/>
      <c r="AG103" s="246"/>
    </row>
    <row r="104" spans="2:33" ht="12.75" customHeight="1" thickBot="1" x14ac:dyDescent="0.25">
      <c r="B104" s="252"/>
      <c r="D104" s="255"/>
      <c r="E104" s="255"/>
      <c r="F104" s="260"/>
      <c r="G104" s="261"/>
      <c r="H104" s="261"/>
      <c r="I104" s="264"/>
      <c r="J104" s="276"/>
      <c r="K104" s="138" t="str">
        <f t="shared" ref="K104:O104" si="7">IF(OR(TRIM(K89)=0,TRIM(K89)=""),"",IFERROR(TRIM(INDEX(QryItemNamed,MATCH(TRIM(K89),ITEM,0),3)),""))</f>
        <v>EACH</v>
      </c>
      <c r="L104" s="102" t="str">
        <f t="shared" si="7"/>
        <v>EACH</v>
      </c>
      <c r="M104" s="102" t="str">
        <f t="shared" si="7"/>
        <v>MILE</v>
      </c>
      <c r="N104" s="102" t="str">
        <f t="shared" si="7"/>
        <v>MILE</v>
      </c>
      <c r="O104" s="102" t="str">
        <f t="shared" si="7"/>
        <v>FT</v>
      </c>
      <c r="P104" s="102" t="s">
        <v>46</v>
      </c>
      <c r="Q104" s="102" t="s">
        <v>46</v>
      </c>
      <c r="R104" s="102" t="s">
        <v>46</v>
      </c>
      <c r="S104" s="102" t="s">
        <v>46</v>
      </c>
      <c r="T104" s="102" t="s">
        <v>51</v>
      </c>
      <c r="U104" s="102" t="s">
        <v>51</v>
      </c>
      <c r="V104" s="102" t="s">
        <v>51</v>
      </c>
      <c r="W104" s="102" t="s">
        <v>46</v>
      </c>
      <c r="X104" s="102" t="s">
        <v>46</v>
      </c>
      <c r="Y104" s="102" t="s">
        <v>46</v>
      </c>
      <c r="Z104" s="102" t="s">
        <v>51</v>
      </c>
      <c r="AA104" s="102" t="s">
        <v>673</v>
      </c>
      <c r="AB104" s="102" t="s">
        <v>673</v>
      </c>
      <c r="AC104" s="102" t="s">
        <v>673</v>
      </c>
      <c r="AD104" s="102" t="s">
        <v>673</v>
      </c>
      <c r="AE104" s="102" t="s">
        <v>673</v>
      </c>
      <c r="AF104" s="102" t="s">
        <v>673</v>
      </c>
      <c r="AG104" s="102" t="s">
        <v>673</v>
      </c>
    </row>
    <row r="105" spans="2:33" ht="12.75" customHeight="1" x14ac:dyDescent="0.2">
      <c r="B105" s="22">
        <v>1</v>
      </c>
      <c r="C105" s="5">
        <f>890+18</f>
        <v>908</v>
      </c>
      <c r="D105" s="114" t="s">
        <v>183</v>
      </c>
      <c r="E105" s="114" t="s">
        <v>730</v>
      </c>
      <c r="F105" s="147">
        <v>62750</v>
      </c>
      <c r="G105" s="114"/>
      <c r="H105" s="147">
        <v>63250</v>
      </c>
      <c r="I105" s="106" t="s">
        <v>25</v>
      </c>
      <c r="J105" s="211">
        <v>4</v>
      </c>
      <c r="K105" s="139"/>
      <c r="L105" s="114"/>
      <c r="M105" s="140">
        <f>(H105-F105)/5280</f>
        <v>9.4696969696969696E-2</v>
      </c>
      <c r="N105" s="140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</row>
    <row r="106" spans="2:33" ht="12.75" customHeight="1" x14ac:dyDescent="0.2">
      <c r="B106" s="22">
        <v>1</v>
      </c>
      <c r="D106" s="114" t="s">
        <v>184</v>
      </c>
      <c r="E106" s="114" t="s">
        <v>730</v>
      </c>
      <c r="F106" s="147">
        <v>62750</v>
      </c>
      <c r="G106" s="114"/>
      <c r="H106" s="147">
        <v>63250</v>
      </c>
      <c r="I106" s="217" t="s">
        <v>24</v>
      </c>
      <c r="J106" s="212">
        <v>4</v>
      </c>
      <c r="K106" s="139"/>
      <c r="L106" s="114"/>
      <c r="M106" s="140">
        <f>(H106-F106)/5280</f>
        <v>9.4696969696969696E-2</v>
      </c>
      <c r="N106" s="140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</row>
    <row r="107" spans="2:33" ht="12.75" customHeight="1" x14ac:dyDescent="0.2">
      <c r="B107" s="22">
        <v>1</v>
      </c>
      <c r="D107" s="114" t="s">
        <v>185</v>
      </c>
      <c r="E107" s="114" t="s">
        <v>730</v>
      </c>
      <c r="F107" s="147">
        <v>62750</v>
      </c>
      <c r="G107" s="114"/>
      <c r="H107" s="147">
        <v>63120</v>
      </c>
      <c r="I107" s="217" t="s">
        <v>25</v>
      </c>
      <c r="J107" s="212">
        <v>4</v>
      </c>
      <c r="K107" s="139"/>
      <c r="L107" s="109">
        <f>ROUNDUP((H107-F107)/80,0)</f>
        <v>5</v>
      </c>
      <c r="M107" s="140"/>
      <c r="N107" s="140">
        <f>(H107-F107)/5280</f>
        <v>7.0075757575757569E-2</v>
      </c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</row>
    <row r="108" spans="2:33" ht="12.75" customHeight="1" x14ac:dyDescent="0.2">
      <c r="B108" s="22">
        <v>1</v>
      </c>
      <c r="D108" s="114" t="s">
        <v>582</v>
      </c>
      <c r="E108" s="114" t="s">
        <v>730</v>
      </c>
      <c r="F108" s="147">
        <v>62750</v>
      </c>
      <c r="G108" s="114"/>
      <c r="H108" s="147">
        <v>63120</v>
      </c>
      <c r="I108" s="217" t="s">
        <v>25</v>
      </c>
      <c r="J108" s="212">
        <v>4</v>
      </c>
      <c r="K108" s="141">
        <f>ROUNDUP((H108-F108)/80,0)</f>
        <v>5</v>
      </c>
      <c r="L108" s="114"/>
      <c r="M108" s="140"/>
      <c r="N108" s="140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</row>
    <row r="109" spans="2:33" ht="12.75" customHeight="1" x14ac:dyDescent="0.2">
      <c r="B109" s="22">
        <v>1</v>
      </c>
      <c r="D109" s="114" t="s">
        <v>186</v>
      </c>
      <c r="E109" s="114" t="s">
        <v>730</v>
      </c>
      <c r="F109" s="147">
        <v>63120</v>
      </c>
      <c r="G109" s="114"/>
      <c r="H109" s="147">
        <v>63250</v>
      </c>
      <c r="I109" s="217" t="s">
        <v>35</v>
      </c>
      <c r="J109" s="212">
        <v>4</v>
      </c>
      <c r="K109" s="139"/>
      <c r="L109" s="109">
        <f>ROUNDUP((H109-F109)/80,0)</f>
        <v>2</v>
      </c>
      <c r="M109" s="140"/>
      <c r="N109" s="140">
        <f>(H109-F109)/5280</f>
        <v>2.462121212121212E-2</v>
      </c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</row>
    <row r="110" spans="2:33" ht="12.75" customHeight="1" x14ac:dyDescent="0.2">
      <c r="B110" s="22">
        <v>1</v>
      </c>
      <c r="D110" s="114" t="s">
        <v>583</v>
      </c>
      <c r="E110" s="114" t="s">
        <v>730</v>
      </c>
      <c r="F110" s="147">
        <v>63120</v>
      </c>
      <c r="G110" s="114"/>
      <c r="H110" s="147">
        <v>63250</v>
      </c>
      <c r="I110" s="217" t="s">
        <v>35</v>
      </c>
      <c r="J110" s="212">
        <v>4</v>
      </c>
      <c r="K110" s="141">
        <f>ROUNDUP((H110-F110)/80,0)</f>
        <v>2</v>
      </c>
      <c r="L110" s="114"/>
      <c r="M110" s="140"/>
      <c r="N110" s="140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</row>
    <row r="111" spans="2:33" ht="12.75" customHeight="1" x14ac:dyDescent="0.2">
      <c r="B111" s="22"/>
      <c r="D111" s="114"/>
      <c r="E111" s="114"/>
      <c r="F111" s="147"/>
      <c r="G111" s="114"/>
      <c r="H111" s="147"/>
      <c r="I111" s="217"/>
      <c r="J111" s="212"/>
      <c r="K111" s="141"/>
      <c r="L111" s="114"/>
      <c r="M111" s="140"/>
      <c r="N111" s="140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</row>
    <row r="112" spans="2:33" ht="12.75" customHeight="1" x14ac:dyDescent="0.2">
      <c r="B112" s="22">
        <v>1</v>
      </c>
      <c r="D112" s="114" t="s">
        <v>187</v>
      </c>
      <c r="E112" s="114" t="s">
        <v>731</v>
      </c>
      <c r="F112" s="147">
        <v>63250</v>
      </c>
      <c r="G112" s="114"/>
      <c r="H112" s="147">
        <v>63750</v>
      </c>
      <c r="I112" s="217" t="s">
        <v>25</v>
      </c>
      <c r="J112" s="212">
        <v>4</v>
      </c>
      <c r="K112" s="139"/>
      <c r="L112" s="114"/>
      <c r="M112" s="140">
        <f>(H112-F112)/5280</f>
        <v>9.4696969696969696E-2</v>
      </c>
      <c r="N112" s="140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</row>
    <row r="113" spans="2:33" ht="12.75" customHeight="1" x14ac:dyDescent="0.2">
      <c r="B113" s="22">
        <v>1</v>
      </c>
      <c r="D113" s="114" t="s">
        <v>188</v>
      </c>
      <c r="E113" s="114" t="s">
        <v>731</v>
      </c>
      <c r="F113" s="147">
        <v>63250</v>
      </c>
      <c r="G113" s="114"/>
      <c r="H113" s="147">
        <v>63750</v>
      </c>
      <c r="I113" s="217" t="s">
        <v>24</v>
      </c>
      <c r="J113" s="212">
        <v>4</v>
      </c>
      <c r="K113" s="139"/>
      <c r="L113" s="114"/>
      <c r="M113" s="140">
        <f>(H113-F113)/5280</f>
        <v>9.4696969696969696E-2</v>
      </c>
      <c r="N113" s="140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</row>
    <row r="114" spans="2:33" ht="12.75" customHeight="1" x14ac:dyDescent="0.2">
      <c r="B114" s="22">
        <v>1</v>
      </c>
      <c r="D114" s="114" t="s">
        <v>189</v>
      </c>
      <c r="E114" s="114" t="s">
        <v>731</v>
      </c>
      <c r="F114" s="147">
        <v>63250</v>
      </c>
      <c r="G114" s="114"/>
      <c r="H114" s="147">
        <v>63750</v>
      </c>
      <c r="I114" s="217" t="s">
        <v>35</v>
      </c>
      <c r="J114" s="212">
        <v>4</v>
      </c>
      <c r="K114" s="139"/>
      <c r="L114" s="109">
        <f>ROUNDUP((H114-F114)/80,0)</f>
        <v>7</v>
      </c>
      <c r="M114" s="140"/>
      <c r="N114" s="140">
        <f>(H114-F114)/5280</f>
        <v>9.4696969696969696E-2</v>
      </c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</row>
    <row r="115" spans="2:33" ht="12.75" customHeight="1" x14ac:dyDescent="0.2">
      <c r="B115" s="22">
        <v>1</v>
      </c>
      <c r="D115" s="114" t="s">
        <v>584</v>
      </c>
      <c r="E115" s="114" t="s">
        <v>731</v>
      </c>
      <c r="F115" s="147">
        <v>63250</v>
      </c>
      <c r="G115" s="114"/>
      <c r="H115" s="147">
        <v>63750</v>
      </c>
      <c r="I115" s="217" t="s">
        <v>35</v>
      </c>
      <c r="J115" s="212">
        <v>4</v>
      </c>
      <c r="K115" s="141">
        <f>ROUNDUP((H115-F115)/80,0)</f>
        <v>7</v>
      </c>
      <c r="L115" s="114"/>
      <c r="M115" s="140"/>
      <c r="N115" s="140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</row>
    <row r="116" spans="2:33" ht="12.75" customHeight="1" x14ac:dyDescent="0.2">
      <c r="B116" s="22"/>
      <c r="D116" s="114"/>
      <c r="E116" s="114"/>
      <c r="F116" s="147"/>
      <c r="G116" s="114"/>
      <c r="H116" s="147"/>
      <c r="I116" s="217"/>
      <c r="J116" s="212"/>
      <c r="K116" s="141"/>
      <c r="L116" s="114"/>
      <c r="M116" s="140"/>
      <c r="N116" s="140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</row>
    <row r="117" spans="2:33" ht="12.75" customHeight="1" x14ac:dyDescent="0.2">
      <c r="B117" s="22">
        <v>1</v>
      </c>
      <c r="D117" s="114" t="s">
        <v>190</v>
      </c>
      <c r="E117" s="114" t="s">
        <v>732</v>
      </c>
      <c r="F117" s="147">
        <v>63750</v>
      </c>
      <c r="G117" s="114"/>
      <c r="H117" s="147">
        <v>64250</v>
      </c>
      <c r="I117" s="217" t="s">
        <v>25</v>
      </c>
      <c r="J117" s="212">
        <v>4</v>
      </c>
      <c r="K117" s="139"/>
      <c r="L117" s="114"/>
      <c r="M117" s="140">
        <f>(H117-F117)/5280</f>
        <v>9.4696969696969696E-2</v>
      </c>
      <c r="N117" s="140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</row>
    <row r="118" spans="2:33" ht="12.75" customHeight="1" x14ac:dyDescent="0.2">
      <c r="B118" s="22">
        <v>1</v>
      </c>
      <c r="D118" s="114" t="s">
        <v>191</v>
      </c>
      <c r="E118" s="114" t="s">
        <v>732</v>
      </c>
      <c r="F118" s="147">
        <v>63750</v>
      </c>
      <c r="G118" s="114"/>
      <c r="H118" s="147">
        <v>64250</v>
      </c>
      <c r="I118" s="217" t="s">
        <v>24</v>
      </c>
      <c r="J118" s="212">
        <v>4</v>
      </c>
      <c r="K118" s="139"/>
      <c r="L118" s="114"/>
      <c r="M118" s="140">
        <f>(H118-F118)/5280</f>
        <v>9.4696969696969696E-2</v>
      </c>
      <c r="N118" s="140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</row>
    <row r="119" spans="2:33" ht="12.75" customHeight="1" x14ac:dyDescent="0.2">
      <c r="B119" s="22">
        <v>1</v>
      </c>
      <c r="D119" s="114" t="s">
        <v>192</v>
      </c>
      <c r="E119" s="114" t="s">
        <v>732</v>
      </c>
      <c r="F119" s="147">
        <v>63750</v>
      </c>
      <c r="G119" s="114"/>
      <c r="H119" s="147">
        <v>64250</v>
      </c>
      <c r="I119" s="217" t="s">
        <v>35</v>
      </c>
      <c r="J119" s="212">
        <v>4</v>
      </c>
      <c r="K119" s="139"/>
      <c r="L119" s="109">
        <f>ROUNDUP((H119-F119)/80,0)</f>
        <v>7</v>
      </c>
      <c r="M119" s="140"/>
      <c r="N119" s="140">
        <f>(H119-F119)/5280</f>
        <v>9.4696969696969696E-2</v>
      </c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</row>
    <row r="120" spans="2:33" ht="12.75" customHeight="1" x14ac:dyDescent="0.2">
      <c r="B120" s="22">
        <v>1</v>
      </c>
      <c r="D120" s="114" t="s">
        <v>585</v>
      </c>
      <c r="E120" s="114" t="s">
        <v>732</v>
      </c>
      <c r="F120" s="147">
        <v>63750</v>
      </c>
      <c r="G120" s="114"/>
      <c r="H120" s="147">
        <v>64250</v>
      </c>
      <c r="I120" s="217" t="s">
        <v>35</v>
      </c>
      <c r="J120" s="212">
        <v>4</v>
      </c>
      <c r="K120" s="141">
        <f>ROUNDUP((H120-F120)/80,0)</f>
        <v>7</v>
      </c>
      <c r="L120" s="114"/>
      <c r="M120" s="140"/>
      <c r="N120" s="140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</row>
    <row r="121" spans="2:33" ht="12.75" customHeight="1" x14ac:dyDescent="0.2">
      <c r="B121" s="22"/>
      <c r="D121" s="114"/>
      <c r="E121" s="114"/>
      <c r="F121" s="147"/>
      <c r="G121" s="114"/>
      <c r="H121" s="147"/>
      <c r="I121" s="217"/>
      <c r="J121" s="212"/>
      <c r="K121" s="141"/>
      <c r="L121" s="114"/>
      <c r="M121" s="140"/>
      <c r="N121" s="140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</row>
    <row r="122" spans="2:33" ht="12.75" customHeight="1" x14ac:dyDescent="0.2">
      <c r="B122" s="22">
        <v>1</v>
      </c>
      <c r="D122" s="114" t="s">
        <v>193</v>
      </c>
      <c r="E122" s="114" t="s">
        <v>733</v>
      </c>
      <c r="F122" s="147">
        <v>64250</v>
      </c>
      <c r="G122" s="114"/>
      <c r="H122" s="147">
        <v>64750</v>
      </c>
      <c r="I122" s="217" t="s">
        <v>25</v>
      </c>
      <c r="J122" s="212">
        <v>4</v>
      </c>
      <c r="K122" s="139"/>
      <c r="L122" s="114"/>
      <c r="M122" s="140">
        <f>(H122-F122)/5280</f>
        <v>9.4696969696969696E-2</v>
      </c>
      <c r="N122" s="140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</row>
    <row r="123" spans="2:33" ht="12.75" customHeight="1" x14ac:dyDescent="0.2">
      <c r="B123" s="22">
        <v>1</v>
      </c>
      <c r="D123" s="114" t="s">
        <v>194</v>
      </c>
      <c r="E123" s="114" t="s">
        <v>733</v>
      </c>
      <c r="F123" s="147">
        <v>64250</v>
      </c>
      <c r="G123" s="114"/>
      <c r="H123" s="147">
        <v>64750</v>
      </c>
      <c r="I123" s="217" t="s">
        <v>24</v>
      </c>
      <c r="J123" s="212">
        <v>4</v>
      </c>
      <c r="K123" s="139"/>
      <c r="L123" s="114"/>
      <c r="M123" s="140">
        <f>(H123-F123)/5280</f>
        <v>9.4696969696969696E-2</v>
      </c>
      <c r="N123" s="140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</row>
    <row r="124" spans="2:33" ht="12.75" customHeight="1" x14ac:dyDescent="0.2">
      <c r="B124" s="22">
        <v>1</v>
      </c>
      <c r="D124" s="114" t="s">
        <v>195</v>
      </c>
      <c r="E124" s="114" t="s">
        <v>733</v>
      </c>
      <c r="F124" s="147">
        <v>64250</v>
      </c>
      <c r="G124" s="114"/>
      <c r="H124" s="147">
        <v>64750</v>
      </c>
      <c r="I124" s="217" t="s">
        <v>25</v>
      </c>
      <c r="J124" s="212">
        <v>4</v>
      </c>
      <c r="K124" s="139"/>
      <c r="L124" s="109">
        <f>ROUNDUP((H124-F124)/80,0)</f>
        <v>7</v>
      </c>
      <c r="M124" s="140"/>
      <c r="N124" s="140">
        <f>(H124-F124)/5280</f>
        <v>9.4696969696969696E-2</v>
      </c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</row>
    <row r="125" spans="2:33" ht="12.75" customHeight="1" x14ac:dyDescent="0.2">
      <c r="B125" s="22">
        <v>1</v>
      </c>
      <c r="D125" s="114" t="s">
        <v>586</v>
      </c>
      <c r="E125" s="114" t="s">
        <v>733</v>
      </c>
      <c r="F125" s="147">
        <v>64250</v>
      </c>
      <c r="G125" s="114"/>
      <c r="H125" s="147">
        <v>64750</v>
      </c>
      <c r="I125" s="217" t="s">
        <v>25</v>
      </c>
      <c r="J125" s="212">
        <v>4</v>
      </c>
      <c r="K125" s="141">
        <f>ROUNDUP((H125-F125)/80,0)</f>
        <v>7</v>
      </c>
      <c r="L125" s="114"/>
      <c r="M125" s="140"/>
      <c r="N125" s="140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</row>
    <row r="126" spans="2:33" ht="12.75" customHeight="1" x14ac:dyDescent="0.2">
      <c r="B126" s="22"/>
      <c r="D126" s="114"/>
      <c r="E126" s="114"/>
      <c r="F126" s="147"/>
      <c r="G126" s="114"/>
      <c r="H126" s="147"/>
      <c r="I126" s="217"/>
      <c r="J126" s="212"/>
      <c r="K126" s="141"/>
      <c r="L126" s="114"/>
      <c r="M126" s="140"/>
      <c r="N126" s="140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</row>
    <row r="127" spans="2:33" ht="12.75" customHeight="1" x14ac:dyDescent="0.2">
      <c r="B127" s="22">
        <v>1</v>
      </c>
      <c r="D127" s="114" t="s">
        <v>196</v>
      </c>
      <c r="E127" s="114" t="s">
        <v>734</v>
      </c>
      <c r="F127" s="147">
        <v>64750</v>
      </c>
      <c r="G127" s="114"/>
      <c r="H127" s="147">
        <v>65250</v>
      </c>
      <c r="I127" s="217" t="s">
        <v>25</v>
      </c>
      <c r="J127" s="212">
        <v>4</v>
      </c>
      <c r="K127" s="139"/>
      <c r="L127" s="114"/>
      <c r="M127" s="140">
        <f>(H127-F127)/5280</f>
        <v>9.4696969696969696E-2</v>
      </c>
      <c r="N127" s="140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</row>
    <row r="128" spans="2:33" ht="12.75" customHeight="1" x14ac:dyDescent="0.2">
      <c r="B128" s="22">
        <v>1</v>
      </c>
      <c r="D128" s="114" t="s">
        <v>197</v>
      </c>
      <c r="E128" s="114" t="s">
        <v>734</v>
      </c>
      <c r="F128" s="147">
        <v>64750</v>
      </c>
      <c r="G128" s="114"/>
      <c r="H128" s="147">
        <v>65250</v>
      </c>
      <c r="I128" s="217" t="s">
        <v>24</v>
      </c>
      <c r="J128" s="212">
        <v>4</v>
      </c>
      <c r="K128" s="139"/>
      <c r="L128" s="114"/>
      <c r="M128" s="140">
        <f>(H128-F128)/5280</f>
        <v>9.4696969696969696E-2</v>
      </c>
      <c r="N128" s="140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</row>
    <row r="129" spans="2:35" ht="12.75" customHeight="1" x14ac:dyDescent="0.2">
      <c r="B129" s="22">
        <v>1</v>
      </c>
      <c r="D129" s="114" t="s">
        <v>198</v>
      </c>
      <c r="E129" s="114" t="s">
        <v>734</v>
      </c>
      <c r="F129" s="147">
        <v>64750</v>
      </c>
      <c r="G129" s="114"/>
      <c r="H129" s="147">
        <v>65116</v>
      </c>
      <c r="I129" s="217" t="s">
        <v>24</v>
      </c>
      <c r="J129" s="212">
        <v>4</v>
      </c>
      <c r="K129" s="139"/>
      <c r="L129" s="109">
        <f>ROUNDUP((H129-F129)/80,0)</f>
        <v>5</v>
      </c>
      <c r="M129" s="140"/>
      <c r="N129" s="140">
        <f>(H129-F129)/5280</f>
        <v>6.931818181818182E-2</v>
      </c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</row>
    <row r="130" spans="2:35" ht="12.75" customHeight="1" x14ac:dyDescent="0.2">
      <c r="B130" s="22">
        <v>1</v>
      </c>
      <c r="D130" s="114" t="s">
        <v>587</v>
      </c>
      <c r="E130" s="114" t="s">
        <v>734</v>
      </c>
      <c r="F130" s="147">
        <v>64750</v>
      </c>
      <c r="G130" s="114"/>
      <c r="H130" s="147">
        <v>65116</v>
      </c>
      <c r="I130" s="217" t="s">
        <v>24</v>
      </c>
      <c r="J130" s="212">
        <v>4</v>
      </c>
      <c r="K130" s="141">
        <f>ROUNDUP((H130-F130)/80,0)</f>
        <v>5</v>
      </c>
      <c r="L130" s="114"/>
      <c r="M130" s="140"/>
      <c r="N130" s="140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</row>
    <row r="131" spans="2:35" ht="12.75" customHeight="1" x14ac:dyDescent="0.2">
      <c r="B131" s="22">
        <v>1</v>
      </c>
      <c r="D131" s="114" t="s">
        <v>199</v>
      </c>
      <c r="E131" s="114" t="s">
        <v>734</v>
      </c>
      <c r="F131" s="147">
        <v>65116</v>
      </c>
      <c r="G131" s="114"/>
      <c r="H131" s="147">
        <v>65250</v>
      </c>
      <c r="I131" s="217" t="s">
        <v>24</v>
      </c>
      <c r="J131" s="212">
        <v>4</v>
      </c>
      <c r="K131" s="139"/>
      <c r="L131" s="109">
        <f>ROUNDUP((H131-F131)/80,0)</f>
        <v>2</v>
      </c>
      <c r="M131" s="140"/>
      <c r="N131" s="140">
        <f>(H131-F131)/5280</f>
        <v>2.5378787878787879E-2</v>
      </c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</row>
    <row r="132" spans="2:35" ht="12.75" customHeight="1" x14ac:dyDescent="0.2">
      <c r="B132" s="22">
        <v>1</v>
      </c>
      <c r="D132" s="114" t="s">
        <v>588</v>
      </c>
      <c r="E132" s="114" t="s">
        <v>734</v>
      </c>
      <c r="F132" s="147">
        <v>65116</v>
      </c>
      <c r="G132" s="114"/>
      <c r="H132" s="147">
        <v>65250</v>
      </c>
      <c r="I132" s="217" t="s">
        <v>24</v>
      </c>
      <c r="J132" s="212">
        <v>4</v>
      </c>
      <c r="K132" s="141">
        <f>ROUNDUP((H132-F132)/80,0)</f>
        <v>2</v>
      </c>
      <c r="L132" s="114"/>
      <c r="M132" s="140"/>
      <c r="N132" s="140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</row>
    <row r="133" spans="2:35" ht="12.75" customHeight="1" x14ac:dyDescent="0.2">
      <c r="B133" s="22"/>
      <c r="D133" s="114"/>
      <c r="E133" s="114"/>
      <c r="F133" s="195"/>
      <c r="G133" s="114"/>
      <c r="H133" s="147"/>
      <c r="I133" s="217"/>
      <c r="J133" s="212"/>
      <c r="K133" s="139"/>
      <c r="L133" s="114"/>
      <c r="M133" s="140"/>
      <c r="N133" s="140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</row>
    <row r="134" spans="2:35" ht="12.75" customHeight="1" x14ac:dyDescent="0.2">
      <c r="B134" s="22">
        <v>1</v>
      </c>
      <c r="D134" s="114" t="s">
        <v>202</v>
      </c>
      <c r="E134" s="114" t="s">
        <v>735</v>
      </c>
      <c r="F134" s="147">
        <v>65250</v>
      </c>
      <c r="G134" s="114"/>
      <c r="H134" s="147">
        <v>65450</v>
      </c>
      <c r="I134" s="217" t="s">
        <v>25</v>
      </c>
      <c r="J134" s="212">
        <v>4</v>
      </c>
      <c r="K134" s="139"/>
      <c r="L134" s="114"/>
      <c r="M134" s="140">
        <f>(H134-F134)/5280</f>
        <v>3.787878787878788E-2</v>
      </c>
      <c r="N134" s="140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</row>
    <row r="135" spans="2:35" ht="12.6" customHeight="1" x14ac:dyDescent="0.2">
      <c r="B135" s="22">
        <v>1</v>
      </c>
      <c r="D135" s="114" t="s">
        <v>203</v>
      </c>
      <c r="E135" s="114" t="s">
        <v>735</v>
      </c>
      <c r="F135" s="147">
        <v>65250</v>
      </c>
      <c r="G135" s="114"/>
      <c r="H135" s="147">
        <v>65450</v>
      </c>
      <c r="I135" s="217" t="s">
        <v>24</v>
      </c>
      <c r="J135" s="212">
        <v>4</v>
      </c>
      <c r="K135" s="139"/>
      <c r="L135" s="114"/>
      <c r="M135" s="140">
        <f>(H135-F135)/5280</f>
        <v>3.787878787878788E-2</v>
      </c>
      <c r="N135" s="140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</row>
    <row r="136" spans="2:35" s="55" customFormat="1" ht="12.6" customHeight="1" x14ac:dyDescent="0.2">
      <c r="B136" s="22">
        <v>1</v>
      </c>
      <c r="D136" s="114" t="s">
        <v>201</v>
      </c>
      <c r="E136" s="114" t="s">
        <v>735</v>
      </c>
      <c r="F136" s="147">
        <v>65250</v>
      </c>
      <c r="G136" s="114"/>
      <c r="H136" s="147">
        <v>65450</v>
      </c>
      <c r="I136" s="217" t="s">
        <v>24</v>
      </c>
      <c r="J136" s="212">
        <v>4</v>
      </c>
      <c r="K136" s="139"/>
      <c r="L136" s="109">
        <f>ROUNDUP((H136-F136)/80,0)</f>
        <v>3</v>
      </c>
      <c r="M136" s="140"/>
      <c r="N136" s="140">
        <f>(H136-F136)/5280</f>
        <v>3.787878787878788E-2</v>
      </c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5"/>
      <c r="AI136" s="5"/>
    </row>
    <row r="137" spans="2:35" ht="12.6" customHeight="1" x14ac:dyDescent="0.2">
      <c r="B137" s="22">
        <v>1</v>
      </c>
      <c r="D137" s="114" t="s">
        <v>589</v>
      </c>
      <c r="E137" s="114" t="s">
        <v>735</v>
      </c>
      <c r="F137" s="147">
        <v>65250</v>
      </c>
      <c r="G137" s="114"/>
      <c r="H137" s="147">
        <v>65450</v>
      </c>
      <c r="I137" s="217" t="s">
        <v>24</v>
      </c>
      <c r="J137" s="212">
        <v>4</v>
      </c>
      <c r="K137" s="141">
        <f>ROUNDUP((H137-F137)/80,0)</f>
        <v>3</v>
      </c>
      <c r="L137" s="114"/>
      <c r="M137" s="140"/>
      <c r="N137" s="140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</row>
    <row r="138" spans="2:35" ht="12.75" customHeight="1" x14ac:dyDescent="0.2">
      <c r="B138" s="22">
        <v>1</v>
      </c>
      <c r="D138" s="114" t="s">
        <v>202</v>
      </c>
      <c r="E138" s="114" t="s">
        <v>735</v>
      </c>
      <c r="F138" s="147">
        <v>65450</v>
      </c>
      <c r="G138" s="114"/>
      <c r="H138" s="147">
        <v>65650</v>
      </c>
      <c r="I138" s="217" t="s">
        <v>25</v>
      </c>
      <c r="J138" s="212">
        <v>1</v>
      </c>
      <c r="K138" s="139"/>
      <c r="L138" s="114"/>
      <c r="M138" s="140">
        <f>(H138-F138)/5280</f>
        <v>3.787878787878788E-2</v>
      </c>
      <c r="N138" s="140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</row>
    <row r="139" spans="2:35" ht="12.6" customHeight="1" x14ac:dyDescent="0.2">
      <c r="B139" s="22">
        <v>1</v>
      </c>
      <c r="D139" s="114" t="s">
        <v>203</v>
      </c>
      <c r="E139" s="114" t="s">
        <v>735</v>
      </c>
      <c r="F139" s="147">
        <v>65450</v>
      </c>
      <c r="G139" s="114"/>
      <c r="H139" s="147">
        <v>65650</v>
      </c>
      <c r="I139" s="217" t="s">
        <v>24</v>
      </c>
      <c r="J139" s="212">
        <v>1</v>
      </c>
      <c r="K139" s="139"/>
      <c r="L139" s="114"/>
      <c r="M139" s="140">
        <f>(H139-F139)/5280</f>
        <v>3.787878787878788E-2</v>
      </c>
      <c r="N139" s="140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</row>
    <row r="140" spans="2:35" s="55" customFormat="1" ht="12.6" customHeight="1" x14ac:dyDescent="0.2">
      <c r="B140" s="22">
        <v>1</v>
      </c>
      <c r="D140" s="114" t="s">
        <v>201</v>
      </c>
      <c r="E140" s="114" t="s">
        <v>735</v>
      </c>
      <c r="F140" s="147">
        <v>65450</v>
      </c>
      <c r="G140" s="114"/>
      <c r="H140" s="147">
        <v>65650</v>
      </c>
      <c r="I140" s="217" t="s">
        <v>24</v>
      </c>
      <c r="J140" s="212">
        <v>1</v>
      </c>
      <c r="K140" s="139"/>
      <c r="L140" s="109">
        <f>ROUNDUP((H140-F140)/80,0)</f>
        <v>3</v>
      </c>
      <c r="M140" s="140"/>
      <c r="N140" s="140">
        <f>(H140-F140)/5280</f>
        <v>3.787878787878788E-2</v>
      </c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5"/>
      <c r="AI140" s="5"/>
    </row>
    <row r="141" spans="2:35" ht="12.6" customHeight="1" x14ac:dyDescent="0.2">
      <c r="B141" s="22">
        <v>1</v>
      </c>
      <c r="D141" s="114" t="s">
        <v>589</v>
      </c>
      <c r="E141" s="114" t="s">
        <v>735</v>
      </c>
      <c r="F141" s="147">
        <v>65450</v>
      </c>
      <c r="G141" s="114"/>
      <c r="H141" s="147">
        <v>65650</v>
      </c>
      <c r="I141" s="217" t="s">
        <v>24</v>
      </c>
      <c r="J141" s="212">
        <v>1</v>
      </c>
      <c r="K141" s="141">
        <f>ROUNDUP((H141-F141)/80,0)</f>
        <v>3</v>
      </c>
      <c r="L141" s="114"/>
      <c r="M141" s="140"/>
      <c r="N141" s="140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</row>
    <row r="142" spans="2:35" ht="12.6" customHeight="1" x14ac:dyDescent="0.2">
      <c r="B142" s="22"/>
      <c r="D142" s="114"/>
      <c r="E142" s="114"/>
      <c r="F142" s="147"/>
      <c r="G142" s="114"/>
      <c r="H142" s="147"/>
      <c r="I142" s="217"/>
      <c r="J142" s="212"/>
      <c r="K142" s="141"/>
      <c r="L142" s="114"/>
      <c r="M142" s="140"/>
      <c r="N142" s="140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</row>
    <row r="143" spans="2:35" s="55" customFormat="1" ht="12.6" customHeight="1" x14ac:dyDescent="0.2">
      <c r="B143" s="22">
        <v>1</v>
      </c>
      <c r="D143" s="114" t="s">
        <v>204</v>
      </c>
      <c r="E143" s="114" t="s">
        <v>736</v>
      </c>
      <c r="F143" s="147">
        <v>65650</v>
      </c>
      <c r="G143" s="114"/>
      <c r="H143" s="147">
        <v>65888</v>
      </c>
      <c r="I143" s="217" t="s">
        <v>25</v>
      </c>
      <c r="J143" s="212">
        <v>1</v>
      </c>
      <c r="K143" s="139"/>
      <c r="L143" s="114"/>
      <c r="M143" s="140">
        <f>(H143-F143)/5280</f>
        <v>4.5075757575757575E-2</v>
      </c>
      <c r="N143" s="140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5"/>
      <c r="AI143" s="5"/>
    </row>
    <row r="144" spans="2:35" ht="12.75" customHeight="1" x14ac:dyDescent="0.2">
      <c r="B144" s="22">
        <v>1</v>
      </c>
      <c r="D144" s="114" t="s">
        <v>205</v>
      </c>
      <c r="E144" s="114" t="s">
        <v>736</v>
      </c>
      <c r="F144" s="147">
        <v>65650</v>
      </c>
      <c r="G144" s="114"/>
      <c r="H144" s="147">
        <v>65888</v>
      </c>
      <c r="I144" s="217" t="s">
        <v>24</v>
      </c>
      <c r="J144" s="212">
        <v>1</v>
      </c>
      <c r="K144" s="139"/>
      <c r="L144" s="114"/>
      <c r="M144" s="140">
        <f>(H144-F144)/5280</f>
        <v>4.5075757575757575E-2</v>
      </c>
      <c r="N144" s="140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</row>
    <row r="145" spans="2:35" ht="12.75" customHeight="1" x14ac:dyDescent="0.2">
      <c r="B145" s="22">
        <v>1</v>
      </c>
      <c r="D145" s="114" t="s">
        <v>206</v>
      </c>
      <c r="E145" s="114" t="s">
        <v>736</v>
      </c>
      <c r="F145" s="147">
        <v>65650</v>
      </c>
      <c r="G145" s="114"/>
      <c r="H145" s="147">
        <v>65888</v>
      </c>
      <c r="I145" s="217" t="s">
        <v>24</v>
      </c>
      <c r="J145" s="212">
        <v>1</v>
      </c>
      <c r="K145" s="139"/>
      <c r="L145" s="109">
        <v>2</v>
      </c>
      <c r="M145" s="140"/>
      <c r="N145" s="140">
        <f>(H145-F145)/5280</f>
        <v>4.5075757575757575E-2</v>
      </c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</row>
    <row r="146" spans="2:35" ht="12.75" customHeight="1" x14ac:dyDescent="0.2">
      <c r="B146" s="22">
        <v>1</v>
      </c>
      <c r="D146" s="114" t="s">
        <v>590</v>
      </c>
      <c r="E146" s="114" t="s">
        <v>736</v>
      </c>
      <c r="F146" s="147">
        <v>65650</v>
      </c>
      <c r="G146" s="114"/>
      <c r="H146" s="147">
        <v>65888</v>
      </c>
      <c r="I146" s="217" t="s">
        <v>24</v>
      </c>
      <c r="J146" s="212">
        <v>1</v>
      </c>
      <c r="K146" s="141">
        <v>2</v>
      </c>
      <c r="L146" s="114"/>
      <c r="M146" s="140"/>
      <c r="N146" s="140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</row>
    <row r="147" spans="2:35" s="55" customFormat="1" ht="12.6" customHeight="1" x14ac:dyDescent="0.2">
      <c r="B147" s="22">
        <v>1</v>
      </c>
      <c r="D147" s="114" t="s">
        <v>204</v>
      </c>
      <c r="E147" s="114" t="s">
        <v>736</v>
      </c>
      <c r="F147" s="147">
        <v>65888</v>
      </c>
      <c r="G147" s="114"/>
      <c r="H147" s="147">
        <v>65982</v>
      </c>
      <c r="I147" s="217" t="s">
        <v>25</v>
      </c>
      <c r="J147" s="212">
        <v>6</v>
      </c>
      <c r="K147" s="139"/>
      <c r="L147" s="114"/>
      <c r="M147" s="140"/>
      <c r="N147" s="140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40">
        <f>(H147-F147)/5280</f>
        <v>1.7803030303030303E-2</v>
      </c>
      <c r="AB147" s="114"/>
      <c r="AC147" s="114"/>
      <c r="AD147" s="114"/>
      <c r="AE147" s="114"/>
      <c r="AF147" s="114"/>
      <c r="AG147" s="114"/>
      <c r="AH147" s="5"/>
      <c r="AI147" s="5"/>
    </row>
    <row r="148" spans="2:35" ht="12.75" customHeight="1" x14ac:dyDescent="0.2">
      <c r="B148" s="22">
        <v>1</v>
      </c>
      <c r="D148" s="114" t="s">
        <v>205</v>
      </c>
      <c r="E148" s="114" t="s">
        <v>736</v>
      </c>
      <c r="F148" s="147">
        <v>65888</v>
      </c>
      <c r="G148" s="114"/>
      <c r="H148" s="147">
        <v>65982</v>
      </c>
      <c r="I148" s="217" t="s">
        <v>24</v>
      </c>
      <c r="J148" s="212">
        <v>6</v>
      </c>
      <c r="K148" s="139"/>
      <c r="L148" s="114"/>
      <c r="M148" s="140"/>
      <c r="N148" s="140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40">
        <f>(H148-F148)/5280</f>
        <v>1.7803030303030303E-2</v>
      </c>
      <c r="AB148" s="114"/>
      <c r="AC148" s="114"/>
      <c r="AD148" s="114"/>
      <c r="AE148" s="114"/>
      <c r="AF148" s="114"/>
      <c r="AG148" s="114"/>
    </row>
    <row r="149" spans="2:35" ht="12.75" customHeight="1" x14ac:dyDescent="0.2">
      <c r="B149" s="22">
        <v>1</v>
      </c>
      <c r="D149" s="114" t="s">
        <v>206</v>
      </c>
      <c r="E149" s="114" t="s">
        <v>736</v>
      </c>
      <c r="F149" s="147">
        <v>65888</v>
      </c>
      <c r="G149" s="114"/>
      <c r="H149" s="147">
        <v>65982</v>
      </c>
      <c r="I149" s="217" t="s">
        <v>24</v>
      </c>
      <c r="J149" s="212">
        <v>6</v>
      </c>
      <c r="K149" s="139"/>
      <c r="L149" s="109">
        <f>ROUNDUP((H149-F149)/80,0)</f>
        <v>2</v>
      </c>
      <c r="M149" s="140"/>
      <c r="N149" s="140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40">
        <f>(H149-F149)/5280</f>
        <v>1.7803030303030303E-2</v>
      </c>
      <c r="AC149" s="114"/>
      <c r="AD149" s="114"/>
      <c r="AE149" s="114"/>
      <c r="AF149" s="114"/>
      <c r="AG149" s="114"/>
    </row>
    <row r="150" spans="2:35" ht="12.75" customHeight="1" x14ac:dyDescent="0.2">
      <c r="B150" s="22">
        <v>1</v>
      </c>
      <c r="D150" s="114" t="s">
        <v>590</v>
      </c>
      <c r="E150" s="114" t="s">
        <v>736</v>
      </c>
      <c r="F150" s="147">
        <v>65888</v>
      </c>
      <c r="G150" s="114"/>
      <c r="H150" s="147">
        <v>65982</v>
      </c>
      <c r="I150" s="217" t="s">
        <v>24</v>
      </c>
      <c r="J150" s="212">
        <v>6</v>
      </c>
      <c r="K150" s="141">
        <f>ROUNDUP((H150-F150)/80,0)</f>
        <v>2</v>
      </c>
      <c r="L150" s="114"/>
      <c r="M150" s="140"/>
      <c r="N150" s="140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</row>
    <row r="151" spans="2:35" s="55" customFormat="1" ht="12.6" customHeight="1" x14ac:dyDescent="0.2">
      <c r="B151" s="22">
        <v>1</v>
      </c>
      <c r="D151" s="114" t="s">
        <v>204</v>
      </c>
      <c r="E151" s="114" t="s">
        <v>736</v>
      </c>
      <c r="F151" s="147">
        <v>65982</v>
      </c>
      <c r="G151" s="114"/>
      <c r="H151" s="147">
        <v>66150</v>
      </c>
      <c r="I151" s="217" t="s">
        <v>25</v>
      </c>
      <c r="J151" s="212">
        <v>1</v>
      </c>
      <c r="K151" s="139"/>
      <c r="L151" s="114"/>
      <c r="M151" s="140">
        <f>(H151-F151)/5280</f>
        <v>3.1818181818181815E-2</v>
      </c>
      <c r="N151" s="140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5"/>
      <c r="AI151" s="5"/>
    </row>
    <row r="152" spans="2:35" ht="12.75" customHeight="1" x14ac:dyDescent="0.2">
      <c r="B152" s="22">
        <v>1</v>
      </c>
      <c r="D152" s="114" t="s">
        <v>205</v>
      </c>
      <c r="E152" s="114" t="s">
        <v>736</v>
      </c>
      <c r="F152" s="147">
        <v>65982</v>
      </c>
      <c r="G152" s="114"/>
      <c r="H152" s="147">
        <v>66150</v>
      </c>
      <c r="I152" s="217" t="s">
        <v>24</v>
      </c>
      <c r="J152" s="212">
        <v>1</v>
      </c>
      <c r="K152" s="139"/>
      <c r="L152" s="114"/>
      <c r="M152" s="140">
        <f>(H152-F152)/5280</f>
        <v>3.1818181818181815E-2</v>
      </c>
      <c r="N152" s="140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</row>
    <row r="153" spans="2:35" ht="12.75" customHeight="1" x14ac:dyDescent="0.2">
      <c r="B153" s="22">
        <v>1</v>
      </c>
      <c r="D153" s="114" t="s">
        <v>206</v>
      </c>
      <c r="E153" s="114" t="s">
        <v>736</v>
      </c>
      <c r="F153" s="147">
        <v>65982</v>
      </c>
      <c r="G153" s="114"/>
      <c r="H153" s="147">
        <v>66150</v>
      </c>
      <c r="I153" s="217" t="s">
        <v>24</v>
      </c>
      <c r="J153" s="212">
        <v>1</v>
      </c>
      <c r="K153" s="139"/>
      <c r="L153" s="109">
        <f>ROUNDUP((H153-F153)/80,0)</f>
        <v>3</v>
      </c>
      <c r="M153" s="140"/>
      <c r="N153" s="140">
        <f>(H153-F153)/5280</f>
        <v>3.1818181818181815E-2</v>
      </c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</row>
    <row r="154" spans="2:35" ht="12.75" customHeight="1" x14ac:dyDescent="0.2">
      <c r="B154" s="22">
        <v>1</v>
      </c>
      <c r="D154" s="114" t="s">
        <v>590</v>
      </c>
      <c r="E154" s="114" t="s">
        <v>736</v>
      </c>
      <c r="F154" s="147">
        <v>65982</v>
      </c>
      <c r="G154" s="114"/>
      <c r="H154" s="147">
        <v>66150</v>
      </c>
      <c r="I154" s="217" t="s">
        <v>24</v>
      </c>
      <c r="J154" s="212">
        <v>1</v>
      </c>
      <c r="K154" s="141">
        <f>ROUNDUP((H154-F154)/80,0)</f>
        <v>3</v>
      </c>
      <c r="L154" s="114"/>
      <c r="M154" s="140"/>
      <c r="N154" s="140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</row>
    <row r="155" spans="2:35" ht="12.75" customHeight="1" x14ac:dyDescent="0.2">
      <c r="B155" s="22"/>
      <c r="D155" s="114"/>
      <c r="E155" s="114"/>
      <c r="F155" s="147"/>
      <c r="G155" s="114"/>
      <c r="H155" s="147"/>
      <c r="I155" s="217"/>
      <c r="J155" s="212"/>
      <c r="K155" s="141"/>
      <c r="L155" s="114"/>
      <c r="M155" s="140"/>
      <c r="N155" s="140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</row>
    <row r="156" spans="2:35" ht="12.75" customHeight="1" x14ac:dyDescent="0.2">
      <c r="B156" s="22">
        <v>1</v>
      </c>
      <c r="D156" s="114" t="s">
        <v>207</v>
      </c>
      <c r="E156" s="114" t="s">
        <v>737</v>
      </c>
      <c r="F156" s="147">
        <v>66150</v>
      </c>
      <c r="G156" s="114"/>
      <c r="H156" s="147">
        <v>66650</v>
      </c>
      <c r="I156" s="217" t="s">
        <v>25</v>
      </c>
      <c r="J156" s="212">
        <v>1</v>
      </c>
      <c r="K156" s="139"/>
      <c r="L156" s="114"/>
      <c r="M156" s="140">
        <f>(H156-F156)/5280</f>
        <v>9.4696969696969696E-2</v>
      </c>
      <c r="N156" s="140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</row>
    <row r="157" spans="2:35" ht="12.75" customHeight="1" x14ac:dyDescent="0.2">
      <c r="B157" s="22">
        <v>1</v>
      </c>
      <c r="D157" s="114" t="s">
        <v>208</v>
      </c>
      <c r="E157" s="114" t="s">
        <v>737</v>
      </c>
      <c r="F157" s="147">
        <v>66150</v>
      </c>
      <c r="G157" s="114"/>
      <c r="H157" s="147">
        <v>66650</v>
      </c>
      <c r="I157" s="217" t="s">
        <v>24</v>
      </c>
      <c r="J157" s="212">
        <v>1</v>
      </c>
      <c r="K157" s="139"/>
      <c r="L157" s="114"/>
      <c r="M157" s="140">
        <f>(H157-F157)/5280</f>
        <v>9.4696969696969696E-2</v>
      </c>
      <c r="N157" s="140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</row>
    <row r="158" spans="2:35" ht="12.75" customHeight="1" x14ac:dyDescent="0.2">
      <c r="B158" s="22">
        <v>1</v>
      </c>
      <c r="D158" s="114" t="s">
        <v>209</v>
      </c>
      <c r="E158" s="114" t="s">
        <v>737</v>
      </c>
      <c r="F158" s="147">
        <v>66150</v>
      </c>
      <c r="G158" s="114"/>
      <c r="H158" s="147">
        <v>66650</v>
      </c>
      <c r="I158" s="217" t="s">
        <v>35</v>
      </c>
      <c r="J158" s="212">
        <v>1</v>
      </c>
      <c r="K158" s="139"/>
      <c r="L158" s="109">
        <f>ROUNDUP((H158-F158)/80,0)</f>
        <v>7</v>
      </c>
      <c r="M158" s="140"/>
      <c r="N158" s="140">
        <f>(H158-F158)/5280</f>
        <v>9.4696969696969696E-2</v>
      </c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</row>
    <row r="159" spans="2:35" ht="12.75" customHeight="1" x14ac:dyDescent="0.2">
      <c r="B159" s="22">
        <v>1</v>
      </c>
      <c r="D159" s="114" t="s">
        <v>591</v>
      </c>
      <c r="E159" s="114" t="s">
        <v>737</v>
      </c>
      <c r="F159" s="147">
        <v>66150</v>
      </c>
      <c r="G159" s="114"/>
      <c r="H159" s="147">
        <v>66650</v>
      </c>
      <c r="I159" s="217" t="s">
        <v>35</v>
      </c>
      <c r="J159" s="212">
        <v>1</v>
      </c>
      <c r="K159" s="141">
        <f>ROUNDUP((H159-F159)/80,0)</f>
        <v>7</v>
      </c>
      <c r="L159" s="114"/>
      <c r="M159" s="140"/>
      <c r="N159" s="140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</row>
    <row r="160" spans="2:35" ht="12.75" customHeight="1" x14ac:dyDescent="0.2">
      <c r="B160" s="22"/>
      <c r="D160" s="114"/>
      <c r="E160" s="114"/>
      <c r="F160" s="147"/>
      <c r="G160" s="114"/>
      <c r="H160" s="147"/>
      <c r="I160" s="217"/>
      <c r="J160" s="212"/>
      <c r="K160" s="141"/>
      <c r="L160" s="114"/>
      <c r="M160" s="140"/>
      <c r="N160" s="140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</row>
    <row r="161" spans="2:33" ht="12.75" customHeight="1" x14ac:dyDescent="0.2">
      <c r="B161" s="22"/>
      <c r="D161" s="114"/>
      <c r="E161" s="114"/>
      <c r="F161" s="147"/>
      <c r="G161" s="114"/>
      <c r="H161" s="147"/>
      <c r="I161" s="217"/>
      <c r="J161" s="212"/>
      <c r="K161" s="141"/>
      <c r="L161" s="114"/>
      <c r="M161" s="140"/>
      <c r="N161" s="140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</row>
    <row r="162" spans="2:33" ht="12.75" customHeight="1" x14ac:dyDescent="0.2">
      <c r="B162" s="22"/>
      <c r="D162" s="114"/>
      <c r="E162" s="114"/>
      <c r="F162" s="147"/>
      <c r="G162" s="114"/>
      <c r="H162" s="147"/>
      <c r="I162" s="217"/>
      <c r="J162" s="212"/>
      <c r="K162" s="139"/>
      <c r="L162" s="114"/>
      <c r="M162" s="140"/>
      <c r="N162" s="140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</row>
    <row r="163" spans="2:33" ht="12.75" customHeight="1" x14ac:dyDescent="0.2">
      <c r="B163" s="22"/>
      <c r="D163" s="114"/>
      <c r="E163" s="114"/>
      <c r="F163" s="147"/>
      <c r="G163" s="114"/>
      <c r="H163" s="147"/>
      <c r="I163" s="217"/>
      <c r="J163" s="212"/>
      <c r="K163" s="139"/>
      <c r="L163" s="109"/>
      <c r="M163" s="140"/>
      <c r="N163" s="140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</row>
    <row r="164" spans="2:33" ht="12.75" customHeight="1" thickBot="1" x14ac:dyDescent="0.25">
      <c r="B164" s="22"/>
      <c r="D164" s="114"/>
      <c r="E164" s="114"/>
      <c r="F164" s="147"/>
      <c r="G164" s="114"/>
      <c r="H164" s="147"/>
      <c r="I164" s="217"/>
      <c r="J164" s="212"/>
      <c r="K164" s="141"/>
      <c r="L164" s="114"/>
      <c r="M164" s="140"/>
      <c r="N164" s="140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</row>
    <row r="165" spans="2:33" ht="12.75" customHeight="1" x14ac:dyDescent="0.2">
      <c r="B165" s="5" t="s">
        <v>11</v>
      </c>
      <c r="D165" s="271" t="s">
        <v>767</v>
      </c>
      <c r="E165" s="272"/>
      <c r="F165" s="272"/>
      <c r="G165" s="272"/>
      <c r="H165" s="272"/>
      <c r="I165" s="272"/>
      <c r="J165" s="272"/>
      <c r="K165" s="173">
        <f t="shared" ref="K165:AG165" si="8">SUM(K105:K164)</f>
        <v>55</v>
      </c>
      <c r="L165" s="173">
        <f t="shared" si="8"/>
        <v>55</v>
      </c>
      <c r="M165" s="173">
        <f t="shared" si="8"/>
        <v>1.4416666666666669</v>
      </c>
      <c r="N165" s="173">
        <f t="shared" si="8"/>
        <v>0.72083333333333333</v>
      </c>
      <c r="O165" s="173">
        <f t="shared" si="8"/>
        <v>0</v>
      </c>
      <c r="P165" s="173">
        <f t="shared" si="8"/>
        <v>0</v>
      </c>
      <c r="Q165" s="173">
        <f t="shared" si="8"/>
        <v>0</v>
      </c>
      <c r="R165" s="173">
        <f t="shared" si="8"/>
        <v>0</v>
      </c>
      <c r="S165" s="173">
        <f t="shared" si="8"/>
        <v>0</v>
      </c>
      <c r="T165" s="173">
        <f t="shared" si="8"/>
        <v>0</v>
      </c>
      <c r="U165" s="173">
        <f t="shared" si="8"/>
        <v>0</v>
      </c>
      <c r="V165" s="173">
        <f t="shared" si="8"/>
        <v>0</v>
      </c>
      <c r="W165" s="173">
        <f t="shared" si="8"/>
        <v>0</v>
      </c>
      <c r="X165" s="173">
        <f t="shared" si="8"/>
        <v>0</v>
      </c>
      <c r="Y165" s="173">
        <f t="shared" si="8"/>
        <v>0</v>
      </c>
      <c r="Z165" s="173">
        <f t="shared" si="8"/>
        <v>0</v>
      </c>
      <c r="AA165" s="173">
        <f t="shared" si="8"/>
        <v>3.5606060606060606E-2</v>
      </c>
      <c r="AB165" s="173">
        <f t="shared" si="8"/>
        <v>1.7803030303030303E-2</v>
      </c>
      <c r="AC165" s="173">
        <f t="shared" si="8"/>
        <v>0</v>
      </c>
      <c r="AD165" s="173">
        <f t="shared" si="8"/>
        <v>0</v>
      </c>
      <c r="AE165" s="173">
        <f t="shared" si="8"/>
        <v>0</v>
      </c>
      <c r="AF165" s="173">
        <f t="shared" si="8"/>
        <v>0</v>
      </c>
      <c r="AG165" s="173">
        <f t="shared" si="8"/>
        <v>0</v>
      </c>
    </row>
    <row r="166" spans="2:33" ht="12.75" customHeight="1" x14ac:dyDescent="0.2">
      <c r="D166" s="191" t="s">
        <v>701</v>
      </c>
      <c r="E166" s="192"/>
      <c r="F166" s="192"/>
      <c r="G166" s="192"/>
      <c r="H166" s="192"/>
      <c r="I166" s="214"/>
      <c r="J166" s="214"/>
      <c r="K166" s="193">
        <f>SUMIF(J105:J164, 1, K105:K164)</f>
        <v>15</v>
      </c>
      <c r="L166" s="193">
        <f t="shared" ref="L166:AG166" si="9">SUMIF($J105:$J164, 1, L105:L164)</f>
        <v>15</v>
      </c>
      <c r="M166" s="193">
        <f t="shared" si="9"/>
        <v>0.41893939393939394</v>
      </c>
      <c r="N166" s="193">
        <f t="shared" si="9"/>
        <v>0.20946969696969697</v>
      </c>
      <c r="O166" s="193">
        <f t="shared" si="9"/>
        <v>0</v>
      </c>
      <c r="P166" s="193">
        <f t="shared" si="9"/>
        <v>0</v>
      </c>
      <c r="Q166" s="193">
        <f t="shared" si="9"/>
        <v>0</v>
      </c>
      <c r="R166" s="193">
        <f t="shared" si="9"/>
        <v>0</v>
      </c>
      <c r="S166" s="193">
        <f t="shared" si="9"/>
        <v>0</v>
      </c>
      <c r="T166" s="193">
        <f t="shared" si="9"/>
        <v>0</v>
      </c>
      <c r="U166" s="193">
        <f t="shared" si="9"/>
        <v>0</v>
      </c>
      <c r="V166" s="193">
        <f t="shared" si="9"/>
        <v>0</v>
      </c>
      <c r="W166" s="193">
        <f t="shared" si="9"/>
        <v>0</v>
      </c>
      <c r="X166" s="193">
        <f t="shared" si="9"/>
        <v>0</v>
      </c>
      <c r="Y166" s="193">
        <f t="shared" si="9"/>
        <v>0</v>
      </c>
      <c r="Z166" s="193">
        <f t="shared" si="9"/>
        <v>0</v>
      </c>
      <c r="AA166" s="193">
        <f t="shared" si="9"/>
        <v>0</v>
      </c>
      <c r="AB166" s="193">
        <f t="shared" si="9"/>
        <v>0</v>
      </c>
      <c r="AC166" s="193">
        <f t="shared" si="9"/>
        <v>0</v>
      </c>
      <c r="AD166" s="193">
        <f t="shared" si="9"/>
        <v>0</v>
      </c>
      <c r="AE166" s="193">
        <f t="shared" si="9"/>
        <v>0</v>
      </c>
      <c r="AF166" s="193">
        <f t="shared" si="9"/>
        <v>0</v>
      </c>
      <c r="AG166" s="193">
        <f t="shared" si="9"/>
        <v>0</v>
      </c>
    </row>
    <row r="167" spans="2:33" ht="12.75" customHeight="1" x14ac:dyDescent="0.2">
      <c r="D167" s="191" t="s">
        <v>702</v>
      </c>
      <c r="E167" s="192"/>
      <c r="F167" s="192"/>
      <c r="G167" s="192"/>
      <c r="H167" s="192"/>
      <c r="I167" s="214"/>
      <c r="J167" s="214"/>
      <c r="K167" s="193">
        <f>SUMIF(J105:J164, 4, K105:K164)</f>
        <v>38</v>
      </c>
      <c r="L167" s="193">
        <f t="shared" ref="L167:AG167" si="10">SUMIF($J105:$J164, 4, L105:L164)</f>
        <v>38</v>
      </c>
      <c r="M167" s="193">
        <f t="shared" si="10"/>
        <v>1.0227272727272729</v>
      </c>
      <c r="N167" s="193">
        <f t="shared" si="10"/>
        <v>0.51136363636363635</v>
      </c>
      <c r="O167" s="193">
        <f t="shared" si="10"/>
        <v>0</v>
      </c>
      <c r="P167" s="193">
        <f t="shared" si="10"/>
        <v>0</v>
      </c>
      <c r="Q167" s="193">
        <f t="shared" si="10"/>
        <v>0</v>
      </c>
      <c r="R167" s="193">
        <f t="shared" si="10"/>
        <v>0</v>
      </c>
      <c r="S167" s="193">
        <f t="shared" si="10"/>
        <v>0</v>
      </c>
      <c r="T167" s="193">
        <f t="shared" si="10"/>
        <v>0</v>
      </c>
      <c r="U167" s="193">
        <f t="shared" si="10"/>
        <v>0</v>
      </c>
      <c r="V167" s="193">
        <f t="shared" si="10"/>
        <v>0</v>
      </c>
      <c r="W167" s="193">
        <f t="shared" si="10"/>
        <v>0</v>
      </c>
      <c r="X167" s="193">
        <f t="shared" si="10"/>
        <v>0</v>
      </c>
      <c r="Y167" s="193">
        <f t="shared" si="10"/>
        <v>0</v>
      </c>
      <c r="Z167" s="193">
        <f t="shared" si="10"/>
        <v>0</v>
      </c>
      <c r="AA167" s="193">
        <f t="shared" si="10"/>
        <v>0</v>
      </c>
      <c r="AB167" s="193">
        <f t="shared" si="10"/>
        <v>0</v>
      </c>
      <c r="AC167" s="193">
        <f t="shared" si="10"/>
        <v>0</v>
      </c>
      <c r="AD167" s="193">
        <f t="shared" si="10"/>
        <v>0</v>
      </c>
      <c r="AE167" s="193">
        <f t="shared" si="10"/>
        <v>0</v>
      </c>
      <c r="AF167" s="193">
        <f t="shared" si="10"/>
        <v>0</v>
      </c>
      <c r="AG167" s="193">
        <f t="shared" si="10"/>
        <v>0</v>
      </c>
    </row>
    <row r="168" spans="2:33" ht="12.75" customHeight="1" x14ac:dyDescent="0.2">
      <c r="D168" s="191" t="s">
        <v>703</v>
      </c>
      <c r="E168" s="192"/>
      <c r="F168" s="192"/>
      <c r="G168" s="192"/>
      <c r="H168" s="192"/>
      <c r="I168" s="214"/>
      <c r="J168" s="214"/>
      <c r="K168" s="193">
        <f>SUMIF(J105:J164, 6, K105:K164)</f>
        <v>2</v>
      </c>
      <c r="L168" s="193">
        <f t="shared" ref="L168:AG168" si="11">SUMIF($J105:$J164, 6, L105:L164)</f>
        <v>2</v>
      </c>
      <c r="M168" s="193">
        <f t="shared" si="11"/>
        <v>0</v>
      </c>
      <c r="N168" s="193">
        <f t="shared" si="11"/>
        <v>0</v>
      </c>
      <c r="O168" s="193">
        <f t="shared" si="11"/>
        <v>0</v>
      </c>
      <c r="P168" s="193">
        <f t="shared" si="11"/>
        <v>0</v>
      </c>
      <c r="Q168" s="193">
        <f t="shared" si="11"/>
        <v>0</v>
      </c>
      <c r="R168" s="193">
        <f t="shared" si="11"/>
        <v>0</v>
      </c>
      <c r="S168" s="193">
        <f t="shared" si="11"/>
        <v>0</v>
      </c>
      <c r="T168" s="193">
        <f t="shared" si="11"/>
        <v>0</v>
      </c>
      <c r="U168" s="193">
        <f t="shared" si="11"/>
        <v>0</v>
      </c>
      <c r="V168" s="193">
        <f t="shared" si="11"/>
        <v>0</v>
      </c>
      <c r="W168" s="193">
        <f t="shared" si="11"/>
        <v>0</v>
      </c>
      <c r="X168" s="193">
        <f t="shared" si="11"/>
        <v>0</v>
      </c>
      <c r="Y168" s="193">
        <f t="shared" si="11"/>
        <v>0</v>
      </c>
      <c r="Z168" s="193">
        <f t="shared" si="11"/>
        <v>0</v>
      </c>
      <c r="AA168" s="193">
        <f t="shared" si="11"/>
        <v>3.5606060606060606E-2</v>
      </c>
      <c r="AB168" s="193">
        <f t="shared" si="11"/>
        <v>1.7803030303030303E-2</v>
      </c>
      <c r="AC168" s="193">
        <f t="shared" si="11"/>
        <v>0</v>
      </c>
      <c r="AD168" s="193">
        <f t="shared" si="11"/>
        <v>0</v>
      </c>
      <c r="AE168" s="193">
        <f t="shared" si="11"/>
        <v>0</v>
      </c>
      <c r="AF168" s="193">
        <f t="shared" si="11"/>
        <v>0</v>
      </c>
      <c r="AG168" s="193">
        <f t="shared" si="11"/>
        <v>0</v>
      </c>
    </row>
    <row r="169" spans="2:33" ht="12.75" customHeight="1" thickBot="1" x14ac:dyDescent="0.25">
      <c r="I169" s="215"/>
      <c r="J169" s="215"/>
    </row>
    <row r="170" spans="2:33" ht="12.75" customHeight="1" thickBot="1" x14ac:dyDescent="0.25">
      <c r="B170" s="20" t="s">
        <v>9</v>
      </c>
      <c r="D170" s="277" t="str">
        <f>"SUBSUMMARY SHEET " &amp; B171</f>
        <v>SUBSUMMARY SHEET 3</v>
      </c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  <c r="X170" s="277"/>
      <c r="Y170" s="277"/>
      <c r="Z170" s="277"/>
      <c r="AA170" s="277"/>
      <c r="AB170" s="277"/>
      <c r="AC170" s="277"/>
      <c r="AD170" s="277"/>
      <c r="AE170" s="277"/>
      <c r="AF170" s="194"/>
      <c r="AG170" s="194"/>
    </row>
    <row r="171" spans="2:33" ht="12.75" customHeight="1" thickBot="1" x14ac:dyDescent="0.25">
      <c r="B171" s="24">
        <v>3</v>
      </c>
      <c r="D171" s="279" t="s">
        <v>7</v>
      </c>
      <c r="E171" s="279"/>
      <c r="F171" s="279"/>
      <c r="G171" s="279"/>
      <c r="H171" s="279"/>
      <c r="I171" s="209"/>
      <c r="J171" s="209"/>
      <c r="K171" s="183" t="s">
        <v>26</v>
      </c>
      <c r="L171" s="183" t="s">
        <v>27</v>
      </c>
      <c r="M171" s="183" t="s">
        <v>693</v>
      </c>
      <c r="N171" s="183" t="s">
        <v>694</v>
      </c>
      <c r="O171" s="183" t="s">
        <v>40</v>
      </c>
      <c r="P171" s="183" t="s">
        <v>42</v>
      </c>
      <c r="Q171" s="183" t="s">
        <v>44</v>
      </c>
      <c r="R171" s="183" t="s">
        <v>705</v>
      </c>
      <c r="S171" s="183" t="s">
        <v>47</v>
      </c>
      <c r="T171" s="183" t="s">
        <v>49</v>
      </c>
      <c r="U171" s="183" t="s">
        <v>52</v>
      </c>
      <c r="V171" s="183" t="s">
        <v>53</v>
      </c>
      <c r="W171" s="183" t="s">
        <v>55</v>
      </c>
      <c r="X171" s="183" t="s">
        <v>57</v>
      </c>
      <c r="Y171" s="183" t="s">
        <v>63</v>
      </c>
      <c r="Z171" s="183" t="s">
        <v>65</v>
      </c>
      <c r="AA171" s="183" t="s">
        <v>707</v>
      </c>
      <c r="AB171" s="183" t="s">
        <v>709</v>
      </c>
      <c r="AC171" s="183" t="s">
        <v>70</v>
      </c>
      <c r="AD171" s="183" t="s">
        <v>71</v>
      </c>
      <c r="AE171" s="183" t="s">
        <v>72</v>
      </c>
      <c r="AF171" s="183" t="s">
        <v>73</v>
      </c>
      <c r="AG171" s="183" t="s">
        <v>688</v>
      </c>
    </row>
    <row r="172" spans="2:33" ht="12.75" customHeight="1" thickBot="1" x14ac:dyDescent="0.25">
      <c r="D172" s="280" t="s">
        <v>8</v>
      </c>
      <c r="E172" s="280"/>
      <c r="F172" s="280"/>
      <c r="G172" s="280"/>
      <c r="H172" s="280"/>
      <c r="I172" s="210"/>
      <c r="J172" s="210"/>
      <c r="K172" s="184"/>
      <c r="L172" s="184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</row>
    <row r="173" spans="2:33" ht="12.75" customHeight="1" x14ac:dyDescent="0.2">
      <c r="B173" s="250" t="s">
        <v>10</v>
      </c>
      <c r="D173" s="253" t="s">
        <v>20</v>
      </c>
      <c r="E173" s="253" t="s">
        <v>21</v>
      </c>
      <c r="F173" s="256" t="s">
        <v>0</v>
      </c>
      <c r="G173" s="257"/>
      <c r="H173" s="257"/>
      <c r="I173" s="262" t="s">
        <v>23</v>
      </c>
      <c r="J173" s="274" t="s">
        <v>704</v>
      </c>
      <c r="K173" s="161" t="str">
        <f>IF(OR(TRIM(K171)=0,TRIM(K171)=""),"",IF(IFERROR(TRIM(INDEX(QryItemNamed,MATCH(TRIM(K171),ITEM,0),2)),"")="Y","SPECIAL",LEFT(IFERROR(TRIM(INDEX(ITEM,MATCH(TRIM(K171),ITEM,0))),""),3)))</f>
        <v>621</v>
      </c>
      <c r="L173" s="145" t="str">
        <f>IF(OR(TRIM(L171)=0,TRIM(L171)=""),"",IF(IFERROR(TRIM(INDEX(QryItemNamed,MATCH(TRIM(L171),ITEM,0),2)),"")="Y","SPECIAL",LEFT(IFERROR(TRIM(INDEX(ITEM,MATCH(TRIM(L171),ITEM,0))),""),3)))</f>
        <v>621</v>
      </c>
      <c r="M173" s="145">
        <v>642</v>
      </c>
      <c r="N173" s="145">
        <v>642</v>
      </c>
      <c r="O173" s="145">
        <v>644</v>
      </c>
      <c r="P173" s="145">
        <v>644</v>
      </c>
      <c r="Q173" s="145">
        <v>644</v>
      </c>
      <c r="R173" s="145">
        <v>644</v>
      </c>
      <c r="S173" s="145">
        <v>644</v>
      </c>
      <c r="T173" s="145" t="s">
        <v>124</v>
      </c>
      <c r="U173" s="145">
        <v>644</v>
      </c>
      <c r="V173" s="145">
        <v>644</v>
      </c>
      <c r="W173" s="145">
        <v>644</v>
      </c>
      <c r="X173" s="145">
        <v>644</v>
      </c>
      <c r="Y173" s="145">
        <v>644</v>
      </c>
      <c r="Z173" s="145">
        <v>644</v>
      </c>
      <c r="AA173" s="145">
        <v>646</v>
      </c>
      <c r="AB173" s="145">
        <v>646</v>
      </c>
      <c r="AC173" s="145" t="s">
        <v>124</v>
      </c>
      <c r="AD173" s="145" t="s">
        <v>675</v>
      </c>
      <c r="AE173" s="145" t="s">
        <v>675</v>
      </c>
      <c r="AF173" s="145" t="s">
        <v>675</v>
      </c>
      <c r="AG173" s="145">
        <v>874</v>
      </c>
    </row>
    <row r="174" spans="2:33" ht="12.75" customHeight="1" x14ac:dyDescent="0.2">
      <c r="B174" s="251"/>
      <c r="D174" s="254"/>
      <c r="E174" s="254"/>
      <c r="F174" s="258"/>
      <c r="G174" s="259"/>
      <c r="H174" s="259"/>
      <c r="I174" s="263"/>
      <c r="J174" s="275"/>
      <c r="K174" s="265" t="str">
        <f>IF(OR(TRIM(K171)=0,TRIM(K171)=""),IF(K172="","",K172),IF(IFERROR(TRIM(INDEX(QryItemNamed,MATCH(TRIM(K171),ITEM,0),2)),"")="Y",TRIM(RIGHT(IFERROR(TRIM(INDEX(QryItemNamed,MATCH(TRIM(K171),ITEM,0),4)),"123456789012"),LEN(IFERROR(TRIM(INDEX(QryItemNamed,MATCH(TRIM(K171),ITEM,0),4)),"123456789012"))-9))&amp;K172,IFERROR(TRIM(INDEX(QryItemNamed,MATCH(TRIM(K171),ITEM,0),4))&amp;K172,"ITEM CODE DOES NOT EXIST IN ITEM MASTER")))</f>
        <v>RPM</v>
      </c>
      <c r="L174" s="244" t="str">
        <f>IF(OR(TRIM(L171)=0,TRIM(L171)=""),IF(L172="","",L172),IF(IFERROR(TRIM(INDEX(QryItemNamed,MATCH(TRIM(L171),ITEM,0),2)),"")="Y",TRIM(RIGHT(IFERROR(TRIM(INDEX(QryItemNamed,MATCH(TRIM(L171),ITEM,0),4)),"123456789012"),LEN(IFERROR(TRIM(INDEX(QryItemNamed,MATCH(TRIM(L171),ITEM,0),4)),"123456789012"))-9))&amp;L172,IFERROR(TRIM(INDEX(QryItemNamed,MATCH(TRIM(L171),ITEM,0),4))&amp;L172,"ITEM CODE DOES NOT EXIST IN ITEM MASTER")))</f>
        <v>RAISED PAVEMENT MARKER REMOVED</v>
      </c>
      <c r="M174" s="278" t="s">
        <v>692</v>
      </c>
      <c r="N174" s="278" t="s">
        <v>695</v>
      </c>
      <c r="O174" s="278" t="s">
        <v>41</v>
      </c>
      <c r="P174" s="278" t="s">
        <v>43</v>
      </c>
      <c r="Q174" s="278" t="s">
        <v>45</v>
      </c>
      <c r="R174" s="278" t="s">
        <v>706</v>
      </c>
      <c r="S174" s="244" t="s">
        <v>48</v>
      </c>
      <c r="T174" s="244" t="s">
        <v>50</v>
      </c>
      <c r="U174" s="244" t="s">
        <v>59</v>
      </c>
      <c r="V174" s="244" t="s">
        <v>54</v>
      </c>
      <c r="W174" s="244" t="s">
        <v>56</v>
      </c>
      <c r="X174" s="268" t="s">
        <v>58</v>
      </c>
      <c r="Y174" s="268" t="s">
        <v>64</v>
      </c>
      <c r="Z174" s="268" t="s">
        <v>66</v>
      </c>
      <c r="AA174" s="244" t="s">
        <v>708</v>
      </c>
      <c r="AB174" s="244" t="s">
        <v>32</v>
      </c>
      <c r="AC174" s="244" t="s">
        <v>74</v>
      </c>
      <c r="AD174" s="244" t="s">
        <v>672</v>
      </c>
      <c r="AE174" s="244" t="s">
        <v>671</v>
      </c>
      <c r="AF174" s="244" t="s">
        <v>670</v>
      </c>
      <c r="AG174" s="244" t="s">
        <v>689</v>
      </c>
    </row>
    <row r="175" spans="2:33" ht="12.75" customHeight="1" x14ac:dyDescent="0.2">
      <c r="B175" s="251"/>
      <c r="D175" s="254"/>
      <c r="E175" s="254"/>
      <c r="F175" s="258"/>
      <c r="G175" s="259"/>
      <c r="H175" s="259"/>
      <c r="I175" s="263"/>
      <c r="J175" s="275"/>
      <c r="K175" s="266"/>
      <c r="L175" s="245"/>
      <c r="M175" s="278"/>
      <c r="N175" s="278"/>
      <c r="O175" s="278"/>
      <c r="P175" s="278"/>
      <c r="Q175" s="278"/>
      <c r="R175" s="278"/>
      <c r="S175" s="245"/>
      <c r="T175" s="245"/>
      <c r="U175" s="245"/>
      <c r="V175" s="245"/>
      <c r="W175" s="245"/>
      <c r="X175" s="269"/>
      <c r="Y175" s="269"/>
      <c r="Z175" s="269"/>
      <c r="AA175" s="245"/>
      <c r="AB175" s="245"/>
      <c r="AC175" s="245"/>
      <c r="AD175" s="245"/>
      <c r="AE175" s="245"/>
      <c r="AF175" s="245"/>
      <c r="AG175" s="245"/>
    </row>
    <row r="176" spans="2:33" ht="12.75" customHeight="1" x14ac:dyDescent="0.2">
      <c r="B176" s="251"/>
      <c r="D176" s="254"/>
      <c r="E176" s="254"/>
      <c r="F176" s="258"/>
      <c r="G176" s="259"/>
      <c r="H176" s="259"/>
      <c r="I176" s="263"/>
      <c r="J176" s="275"/>
      <c r="K176" s="266"/>
      <c r="L176" s="245"/>
      <c r="M176" s="278"/>
      <c r="N176" s="278"/>
      <c r="O176" s="278"/>
      <c r="P176" s="278"/>
      <c r="Q176" s="278"/>
      <c r="R176" s="278"/>
      <c r="S176" s="245"/>
      <c r="T176" s="245"/>
      <c r="U176" s="245"/>
      <c r="V176" s="245"/>
      <c r="W176" s="245"/>
      <c r="X176" s="269"/>
      <c r="Y176" s="269"/>
      <c r="Z176" s="269"/>
      <c r="AA176" s="245"/>
      <c r="AB176" s="245"/>
      <c r="AC176" s="245"/>
      <c r="AD176" s="245"/>
      <c r="AE176" s="245"/>
      <c r="AF176" s="245"/>
      <c r="AG176" s="245"/>
    </row>
    <row r="177" spans="2:33" ht="12.75" customHeight="1" x14ac:dyDescent="0.2">
      <c r="B177" s="251"/>
      <c r="D177" s="254"/>
      <c r="E177" s="254"/>
      <c r="F177" s="258"/>
      <c r="G177" s="259"/>
      <c r="H177" s="259"/>
      <c r="I177" s="263"/>
      <c r="J177" s="275"/>
      <c r="K177" s="266"/>
      <c r="L177" s="245"/>
      <c r="M177" s="278"/>
      <c r="N177" s="278"/>
      <c r="O177" s="278"/>
      <c r="P177" s="278"/>
      <c r="Q177" s="278"/>
      <c r="R177" s="278"/>
      <c r="S177" s="245"/>
      <c r="T177" s="245"/>
      <c r="U177" s="245"/>
      <c r="V177" s="245"/>
      <c r="W177" s="245"/>
      <c r="X177" s="269"/>
      <c r="Y177" s="269"/>
      <c r="Z177" s="269"/>
      <c r="AA177" s="245"/>
      <c r="AB177" s="245"/>
      <c r="AC177" s="245"/>
      <c r="AD177" s="245"/>
      <c r="AE177" s="245"/>
      <c r="AF177" s="245"/>
      <c r="AG177" s="245"/>
    </row>
    <row r="178" spans="2:33" ht="12.75" customHeight="1" x14ac:dyDescent="0.2">
      <c r="B178" s="251"/>
      <c r="D178" s="254"/>
      <c r="E178" s="254"/>
      <c r="F178" s="258"/>
      <c r="G178" s="259"/>
      <c r="H178" s="259"/>
      <c r="I178" s="263"/>
      <c r="J178" s="275"/>
      <c r="K178" s="266"/>
      <c r="L178" s="245"/>
      <c r="M178" s="278"/>
      <c r="N178" s="278"/>
      <c r="O178" s="278"/>
      <c r="P178" s="278"/>
      <c r="Q178" s="278"/>
      <c r="R178" s="278"/>
      <c r="S178" s="245"/>
      <c r="T178" s="245"/>
      <c r="U178" s="245"/>
      <c r="V178" s="245"/>
      <c r="W178" s="245"/>
      <c r="X178" s="269"/>
      <c r="Y178" s="269"/>
      <c r="Z178" s="269"/>
      <c r="AA178" s="245"/>
      <c r="AB178" s="245"/>
      <c r="AC178" s="245"/>
      <c r="AD178" s="245"/>
      <c r="AE178" s="245"/>
      <c r="AF178" s="245"/>
      <c r="AG178" s="245"/>
    </row>
    <row r="179" spans="2:33" ht="12.75" customHeight="1" x14ac:dyDescent="0.2">
      <c r="B179" s="251"/>
      <c r="D179" s="254"/>
      <c r="E179" s="254"/>
      <c r="F179" s="258"/>
      <c r="G179" s="259"/>
      <c r="H179" s="259"/>
      <c r="I179" s="263"/>
      <c r="J179" s="275"/>
      <c r="K179" s="266"/>
      <c r="L179" s="245"/>
      <c r="M179" s="278"/>
      <c r="N179" s="278"/>
      <c r="O179" s="278"/>
      <c r="P179" s="278"/>
      <c r="Q179" s="278"/>
      <c r="R179" s="278"/>
      <c r="S179" s="245"/>
      <c r="T179" s="245"/>
      <c r="U179" s="245"/>
      <c r="V179" s="245"/>
      <c r="W179" s="245"/>
      <c r="X179" s="269"/>
      <c r="Y179" s="269"/>
      <c r="Z179" s="269"/>
      <c r="AA179" s="245"/>
      <c r="AB179" s="245"/>
      <c r="AC179" s="245"/>
      <c r="AD179" s="245"/>
      <c r="AE179" s="245"/>
      <c r="AF179" s="245"/>
      <c r="AG179" s="245"/>
    </row>
    <row r="180" spans="2:33" ht="12.75" customHeight="1" x14ac:dyDescent="0.2">
      <c r="B180" s="251"/>
      <c r="D180" s="254"/>
      <c r="E180" s="254"/>
      <c r="F180" s="258"/>
      <c r="G180" s="259"/>
      <c r="H180" s="259"/>
      <c r="I180" s="263"/>
      <c r="J180" s="275"/>
      <c r="K180" s="266"/>
      <c r="L180" s="245"/>
      <c r="M180" s="278"/>
      <c r="N180" s="278"/>
      <c r="O180" s="278"/>
      <c r="P180" s="278"/>
      <c r="Q180" s="278"/>
      <c r="R180" s="278"/>
      <c r="S180" s="245"/>
      <c r="T180" s="245"/>
      <c r="U180" s="245"/>
      <c r="V180" s="245"/>
      <c r="W180" s="245"/>
      <c r="X180" s="269"/>
      <c r="Y180" s="269"/>
      <c r="Z180" s="269"/>
      <c r="AA180" s="245"/>
      <c r="AB180" s="245"/>
      <c r="AC180" s="245"/>
      <c r="AD180" s="245"/>
      <c r="AE180" s="245"/>
      <c r="AF180" s="245"/>
      <c r="AG180" s="245"/>
    </row>
    <row r="181" spans="2:33" ht="12.75" customHeight="1" x14ac:dyDescent="0.2">
      <c r="B181" s="251"/>
      <c r="D181" s="254"/>
      <c r="E181" s="254"/>
      <c r="F181" s="258"/>
      <c r="G181" s="259"/>
      <c r="H181" s="259"/>
      <c r="I181" s="263"/>
      <c r="J181" s="275"/>
      <c r="K181" s="266"/>
      <c r="L181" s="245"/>
      <c r="M181" s="278"/>
      <c r="N181" s="278"/>
      <c r="O181" s="278"/>
      <c r="P181" s="278"/>
      <c r="Q181" s="278"/>
      <c r="R181" s="278"/>
      <c r="S181" s="245"/>
      <c r="T181" s="245"/>
      <c r="U181" s="245"/>
      <c r="V181" s="245"/>
      <c r="W181" s="245"/>
      <c r="X181" s="269"/>
      <c r="Y181" s="269"/>
      <c r="Z181" s="269"/>
      <c r="AA181" s="245"/>
      <c r="AB181" s="245"/>
      <c r="AC181" s="245"/>
      <c r="AD181" s="245"/>
      <c r="AE181" s="245"/>
      <c r="AF181" s="245"/>
      <c r="AG181" s="245"/>
    </row>
    <row r="182" spans="2:33" ht="12.75" customHeight="1" x14ac:dyDescent="0.2">
      <c r="B182" s="251"/>
      <c r="D182" s="254"/>
      <c r="E182" s="254"/>
      <c r="F182" s="258"/>
      <c r="G182" s="259"/>
      <c r="H182" s="259"/>
      <c r="I182" s="263"/>
      <c r="J182" s="275"/>
      <c r="K182" s="266"/>
      <c r="L182" s="245"/>
      <c r="M182" s="278"/>
      <c r="N182" s="278"/>
      <c r="O182" s="278"/>
      <c r="P182" s="278"/>
      <c r="Q182" s="278"/>
      <c r="R182" s="278"/>
      <c r="S182" s="245"/>
      <c r="T182" s="245"/>
      <c r="U182" s="245"/>
      <c r="V182" s="245"/>
      <c r="W182" s="245"/>
      <c r="X182" s="269"/>
      <c r="Y182" s="269"/>
      <c r="Z182" s="269"/>
      <c r="AA182" s="245"/>
      <c r="AB182" s="245"/>
      <c r="AC182" s="245"/>
      <c r="AD182" s="245"/>
      <c r="AE182" s="245"/>
      <c r="AF182" s="245"/>
      <c r="AG182" s="245"/>
    </row>
    <row r="183" spans="2:33" ht="12.75" customHeight="1" x14ac:dyDescent="0.2">
      <c r="B183" s="251"/>
      <c r="D183" s="254"/>
      <c r="E183" s="254"/>
      <c r="F183" s="258"/>
      <c r="G183" s="259"/>
      <c r="H183" s="259"/>
      <c r="I183" s="263"/>
      <c r="J183" s="275"/>
      <c r="K183" s="266"/>
      <c r="L183" s="245"/>
      <c r="M183" s="278"/>
      <c r="N183" s="278"/>
      <c r="O183" s="278"/>
      <c r="P183" s="278"/>
      <c r="Q183" s="278"/>
      <c r="R183" s="278"/>
      <c r="S183" s="245"/>
      <c r="T183" s="245"/>
      <c r="U183" s="245"/>
      <c r="V183" s="245"/>
      <c r="W183" s="245"/>
      <c r="X183" s="269"/>
      <c r="Y183" s="269"/>
      <c r="Z183" s="269"/>
      <c r="AA183" s="245"/>
      <c r="AB183" s="245"/>
      <c r="AC183" s="245"/>
      <c r="AD183" s="245"/>
      <c r="AE183" s="245"/>
      <c r="AF183" s="245"/>
      <c r="AG183" s="245"/>
    </row>
    <row r="184" spans="2:33" ht="12.75" customHeight="1" x14ac:dyDescent="0.2">
      <c r="B184" s="251"/>
      <c r="D184" s="254"/>
      <c r="E184" s="254"/>
      <c r="F184" s="258"/>
      <c r="G184" s="259"/>
      <c r="H184" s="259"/>
      <c r="I184" s="263"/>
      <c r="J184" s="275"/>
      <c r="K184" s="266"/>
      <c r="L184" s="245"/>
      <c r="M184" s="278"/>
      <c r="N184" s="278"/>
      <c r="O184" s="278"/>
      <c r="P184" s="278"/>
      <c r="Q184" s="278"/>
      <c r="R184" s="278"/>
      <c r="S184" s="245"/>
      <c r="T184" s="245"/>
      <c r="U184" s="245"/>
      <c r="V184" s="245"/>
      <c r="W184" s="245"/>
      <c r="X184" s="269"/>
      <c r="Y184" s="269"/>
      <c r="Z184" s="269"/>
      <c r="AA184" s="245"/>
      <c r="AB184" s="245"/>
      <c r="AC184" s="245"/>
      <c r="AD184" s="245"/>
      <c r="AE184" s="245"/>
      <c r="AF184" s="245"/>
      <c r="AG184" s="245"/>
    </row>
    <row r="185" spans="2:33" ht="12.75" customHeight="1" x14ac:dyDescent="0.2">
      <c r="B185" s="251"/>
      <c r="D185" s="254"/>
      <c r="E185" s="254"/>
      <c r="F185" s="258"/>
      <c r="G185" s="259"/>
      <c r="H185" s="259"/>
      <c r="I185" s="263"/>
      <c r="J185" s="275"/>
      <c r="K185" s="267"/>
      <c r="L185" s="246"/>
      <c r="M185" s="278"/>
      <c r="N185" s="278"/>
      <c r="O185" s="278"/>
      <c r="P185" s="278"/>
      <c r="Q185" s="278"/>
      <c r="R185" s="278"/>
      <c r="S185" s="246"/>
      <c r="T185" s="246"/>
      <c r="U185" s="246"/>
      <c r="V185" s="246"/>
      <c r="W185" s="246"/>
      <c r="X185" s="270"/>
      <c r="Y185" s="270"/>
      <c r="Z185" s="270"/>
      <c r="AA185" s="246"/>
      <c r="AB185" s="246"/>
      <c r="AC185" s="246"/>
      <c r="AD185" s="246"/>
      <c r="AE185" s="246"/>
      <c r="AF185" s="246"/>
      <c r="AG185" s="246"/>
    </row>
    <row r="186" spans="2:33" ht="12.75" customHeight="1" thickBot="1" x14ac:dyDescent="0.25">
      <c r="B186" s="252"/>
      <c r="D186" s="255"/>
      <c r="E186" s="255"/>
      <c r="F186" s="260"/>
      <c r="G186" s="261"/>
      <c r="H186" s="261"/>
      <c r="I186" s="264"/>
      <c r="J186" s="276"/>
      <c r="K186" s="138" t="str">
        <f t="shared" ref="K186:O186" si="12">IF(OR(TRIM(K171)=0,TRIM(K171)=""),"",IFERROR(TRIM(INDEX(QryItemNamed,MATCH(TRIM(K171),ITEM,0),3)),""))</f>
        <v>EACH</v>
      </c>
      <c r="L186" s="102" t="str">
        <f t="shared" si="12"/>
        <v>EACH</v>
      </c>
      <c r="M186" s="102" t="str">
        <f t="shared" si="12"/>
        <v>MILE</v>
      </c>
      <c r="N186" s="102" t="str">
        <f t="shared" si="12"/>
        <v>MILE</v>
      </c>
      <c r="O186" s="102" t="str">
        <f t="shared" si="12"/>
        <v>FT</v>
      </c>
      <c r="P186" s="102" t="s">
        <v>46</v>
      </c>
      <c r="Q186" s="102" t="s">
        <v>46</v>
      </c>
      <c r="R186" s="102" t="s">
        <v>46</v>
      </c>
      <c r="S186" s="102" t="s">
        <v>46</v>
      </c>
      <c r="T186" s="102" t="s">
        <v>51</v>
      </c>
      <c r="U186" s="102" t="s">
        <v>51</v>
      </c>
      <c r="V186" s="102" t="s">
        <v>51</v>
      </c>
      <c r="W186" s="102" t="s">
        <v>46</v>
      </c>
      <c r="X186" s="102" t="s">
        <v>46</v>
      </c>
      <c r="Y186" s="102" t="s">
        <v>46</v>
      </c>
      <c r="Z186" s="102" t="s">
        <v>51</v>
      </c>
      <c r="AA186" s="102" t="s">
        <v>673</v>
      </c>
      <c r="AB186" s="102" t="s">
        <v>673</v>
      </c>
      <c r="AC186" s="102" t="s">
        <v>673</v>
      </c>
      <c r="AD186" s="102" t="s">
        <v>673</v>
      </c>
      <c r="AE186" s="102" t="s">
        <v>673</v>
      </c>
      <c r="AF186" s="102" t="s">
        <v>673</v>
      </c>
      <c r="AG186" s="102" t="s">
        <v>673</v>
      </c>
    </row>
    <row r="187" spans="2:33" ht="12.75" customHeight="1" x14ac:dyDescent="0.2">
      <c r="B187" s="22">
        <v>1</v>
      </c>
      <c r="C187" s="5">
        <f>898+18</f>
        <v>916</v>
      </c>
      <c r="D187" s="114" t="s">
        <v>210</v>
      </c>
      <c r="E187" s="114" t="s">
        <v>738</v>
      </c>
      <c r="F187" s="147">
        <v>66650</v>
      </c>
      <c r="G187" s="114"/>
      <c r="H187" s="147">
        <v>67150</v>
      </c>
      <c r="I187" s="217" t="s">
        <v>25</v>
      </c>
      <c r="J187" s="212">
        <v>1</v>
      </c>
      <c r="K187" s="139"/>
      <c r="L187" s="114"/>
      <c r="M187" s="140">
        <f>(H187-F187)/5280</f>
        <v>9.4696969696969696E-2</v>
      </c>
      <c r="N187" s="140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</row>
    <row r="188" spans="2:33" ht="12.75" customHeight="1" x14ac:dyDescent="0.2">
      <c r="B188" s="22">
        <v>1</v>
      </c>
      <c r="D188" s="114" t="s">
        <v>211</v>
      </c>
      <c r="E188" s="114" t="s">
        <v>738</v>
      </c>
      <c r="F188" s="147">
        <v>66650</v>
      </c>
      <c r="G188" s="114"/>
      <c r="H188" s="147">
        <v>67150</v>
      </c>
      <c r="I188" s="217" t="s">
        <v>24</v>
      </c>
      <c r="J188" s="212">
        <v>1</v>
      </c>
      <c r="K188" s="139"/>
      <c r="L188" s="114"/>
      <c r="M188" s="140">
        <f>(H188-F188)/5280</f>
        <v>9.4696969696969696E-2</v>
      </c>
      <c r="N188" s="140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</row>
    <row r="189" spans="2:33" ht="12.75" customHeight="1" x14ac:dyDescent="0.2">
      <c r="B189" s="22">
        <v>1</v>
      </c>
      <c r="D189" s="114" t="s">
        <v>212</v>
      </c>
      <c r="E189" s="114" t="s">
        <v>738</v>
      </c>
      <c r="F189" s="147">
        <v>66650</v>
      </c>
      <c r="G189" s="114"/>
      <c r="H189" s="147">
        <v>66920</v>
      </c>
      <c r="I189" s="217" t="s">
        <v>35</v>
      </c>
      <c r="J189" s="212">
        <v>1</v>
      </c>
      <c r="K189" s="139"/>
      <c r="L189" s="109">
        <f>ROUNDUP((H189-F189)/80,0)</f>
        <v>4</v>
      </c>
      <c r="M189" s="140"/>
      <c r="N189" s="140">
        <f>(H189-F189)/5280</f>
        <v>5.113636363636364E-2</v>
      </c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</row>
    <row r="190" spans="2:33" ht="12.75" customHeight="1" x14ac:dyDescent="0.2">
      <c r="B190" s="22">
        <v>1</v>
      </c>
      <c r="D190" s="114" t="s">
        <v>592</v>
      </c>
      <c r="E190" s="114" t="s">
        <v>738</v>
      </c>
      <c r="F190" s="147">
        <v>66650</v>
      </c>
      <c r="G190" s="114"/>
      <c r="H190" s="147">
        <v>66920</v>
      </c>
      <c r="I190" s="217" t="s">
        <v>35</v>
      </c>
      <c r="J190" s="212">
        <v>1</v>
      </c>
      <c r="K190" s="141">
        <f>ROUNDUP((H190-F190)/80,0)</f>
        <v>4</v>
      </c>
      <c r="L190" s="114"/>
      <c r="M190" s="140"/>
      <c r="N190" s="140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</row>
    <row r="191" spans="2:33" ht="12.75" customHeight="1" x14ac:dyDescent="0.2">
      <c r="B191" s="22">
        <v>1</v>
      </c>
      <c r="D191" s="114" t="s">
        <v>213</v>
      </c>
      <c r="E191" s="114" t="s">
        <v>738</v>
      </c>
      <c r="F191" s="147">
        <v>66920</v>
      </c>
      <c r="G191" s="114"/>
      <c r="H191" s="147">
        <v>67150</v>
      </c>
      <c r="I191" s="217" t="s">
        <v>35</v>
      </c>
      <c r="J191" s="212">
        <v>1</v>
      </c>
      <c r="K191" s="139"/>
      <c r="L191" s="109">
        <f>ROUNDUP((H191-F191)/80,0)</f>
        <v>3</v>
      </c>
      <c r="M191" s="140"/>
      <c r="N191" s="140">
        <f>(H191-F191)/5280</f>
        <v>4.3560606060606064E-2</v>
      </c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</row>
    <row r="192" spans="2:33" ht="12.75" customHeight="1" x14ac:dyDescent="0.2">
      <c r="B192" s="22">
        <v>1</v>
      </c>
      <c r="D192" s="114" t="s">
        <v>593</v>
      </c>
      <c r="E192" s="114" t="s">
        <v>738</v>
      </c>
      <c r="F192" s="147">
        <v>66920</v>
      </c>
      <c r="G192" s="114"/>
      <c r="H192" s="147">
        <v>67150</v>
      </c>
      <c r="I192" s="217" t="s">
        <v>35</v>
      </c>
      <c r="J192" s="212">
        <v>1</v>
      </c>
      <c r="K192" s="141">
        <f>ROUNDUP((H192-F192)/80,0)</f>
        <v>3</v>
      </c>
      <c r="L192" s="114"/>
      <c r="M192" s="140"/>
      <c r="N192" s="140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</row>
    <row r="193" spans="2:33" ht="12.75" customHeight="1" x14ac:dyDescent="0.2">
      <c r="B193" s="22"/>
      <c r="D193" s="114"/>
      <c r="E193" s="114"/>
      <c r="F193" s="147"/>
      <c r="G193" s="114"/>
      <c r="H193" s="147"/>
      <c r="I193" s="217"/>
      <c r="J193" s="212"/>
      <c r="K193" s="141"/>
      <c r="L193" s="114"/>
      <c r="M193" s="140"/>
      <c r="N193" s="140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</row>
    <row r="194" spans="2:33" ht="12.75" customHeight="1" x14ac:dyDescent="0.2">
      <c r="B194" s="22">
        <v>1</v>
      </c>
      <c r="D194" s="114" t="s">
        <v>214</v>
      </c>
      <c r="E194" s="114" t="s">
        <v>739</v>
      </c>
      <c r="F194" s="147">
        <v>67150</v>
      </c>
      <c r="G194" s="114"/>
      <c r="H194" s="147">
        <v>67650</v>
      </c>
      <c r="I194" s="217" t="s">
        <v>25</v>
      </c>
      <c r="J194" s="212">
        <v>1</v>
      </c>
      <c r="K194" s="139"/>
      <c r="L194" s="114"/>
      <c r="M194" s="140">
        <f>(H194-F194)/5280</f>
        <v>9.4696969696969696E-2</v>
      </c>
      <c r="N194" s="140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</row>
    <row r="195" spans="2:33" ht="12.75" customHeight="1" x14ac:dyDescent="0.2">
      <c r="B195" s="22">
        <v>1</v>
      </c>
      <c r="D195" s="114" t="s">
        <v>215</v>
      </c>
      <c r="E195" s="114" t="s">
        <v>739</v>
      </c>
      <c r="F195" s="147">
        <v>67150</v>
      </c>
      <c r="G195" s="114"/>
      <c r="H195" s="147">
        <v>67650</v>
      </c>
      <c r="I195" s="217" t="s">
        <v>24</v>
      </c>
      <c r="J195" s="212">
        <v>1</v>
      </c>
      <c r="K195" s="139"/>
      <c r="L195" s="114"/>
      <c r="M195" s="140">
        <f>(H195-F195)/5280</f>
        <v>9.4696969696969696E-2</v>
      </c>
      <c r="N195" s="140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</row>
    <row r="196" spans="2:33" ht="12.75" customHeight="1" x14ac:dyDescent="0.2">
      <c r="B196" s="22">
        <v>1</v>
      </c>
      <c r="D196" s="114" t="s">
        <v>216</v>
      </c>
      <c r="E196" s="114" t="s">
        <v>739</v>
      </c>
      <c r="F196" s="147">
        <v>67150</v>
      </c>
      <c r="G196" s="114"/>
      <c r="H196" s="147">
        <v>67650</v>
      </c>
      <c r="I196" s="217" t="s">
        <v>35</v>
      </c>
      <c r="J196" s="212">
        <v>1</v>
      </c>
      <c r="K196" s="139"/>
      <c r="L196" s="109">
        <f>ROUNDUP((H196-F196)/80,0)</f>
        <v>7</v>
      </c>
      <c r="M196" s="140"/>
      <c r="N196" s="140">
        <f>(H196-F196)/5280</f>
        <v>9.4696969696969696E-2</v>
      </c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</row>
    <row r="197" spans="2:33" ht="12.75" customHeight="1" x14ac:dyDescent="0.2">
      <c r="B197" s="22">
        <v>1</v>
      </c>
      <c r="D197" s="114" t="s">
        <v>594</v>
      </c>
      <c r="E197" s="114" t="s">
        <v>739</v>
      </c>
      <c r="F197" s="147">
        <v>67150</v>
      </c>
      <c r="G197" s="114"/>
      <c r="H197" s="147">
        <v>67650</v>
      </c>
      <c r="I197" s="217" t="s">
        <v>35</v>
      </c>
      <c r="J197" s="212">
        <v>1</v>
      </c>
      <c r="K197" s="141">
        <f>ROUNDUP((H197-F197)/80,0)</f>
        <v>7</v>
      </c>
      <c r="L197" s="114"/>
      <c r="M197" s="140"/>
      <c r="N197" s="140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</row>
    <row r="198" spans="2:33" ht="12.75" customHeight="1" x14ac:dyDescent="0.2">
      <c r="B198" s="22"/>
      <c r="D198" s="114"/>
      <c r="E198" s="114"/>
      <c r="F198" s="147"/>
      <c r="G198" s="114"/>
      <c r="H198" s="147"/>
      <c r="I198" s="217"/>
      <c r="J198" s="212"/>
      <c r="K198" s="141"/>
      <c r="L198" s="114"/>
      <c r="M198" s="140"/>
      <c r="N198" s="140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</row>
    <row r="199" spans="2:33" ht="12.75" customHeight="1" x14ac:dyDescent="0.2">
      <c r="B199" s="22">
        <v>1</v>
      </c>
      <c r="D199" s="114" t="s">
        <v>217</v>
      </c>
      <c r="E199" s="114" t="s">
        <v>740</v>
      </c>
      <c r="F199" s="147">
        <v>67650</v>
      </c>
      <c r="G199" s="114"/>
      <c r="H199" s="147">
        <v>68150</v>
      </c>
      <c r="I199" s="217" t="s">
        <v>25</v>
      </c>
      <c r="J199" s="212">
        <v>1</v>
      </c>
      <c r="K199" s="139"/>
      <c r="L199" s="114"/>
      <c r="M199" s="140">
        <f>(H199-F199)/5280</f>
        <v>9.4696969696969696E-2</v>
      </c>
      <c r="N199" s="140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</row>
    <row r="200" spans="2:33" ht="12.75" customHeight="1" x14ac:dyDescent="0.2">
      <c r="B200" s="22">
        <v>1</v>
      </c>
      <c r="D200" s="114" t="s">
        <v>218</v>
      </c>
      <c r="E200" s="114" t="s">
        <v>740</v>
      </c>
      <c r="F200" s="147">
        <v>67650</v>
      </c>
      <c r="G200" s="114"/>
      <c r="H200" s="147">
        <v>68150</v>
      </c>
      <c r="I200" s="217" t="s">
        <v>24</v>
      </c>
      <c r="J200" s="212">
        <v>1</v>
      </c>
      <c r="K200" s="139"/>
      <c r="L200" s="114"/>
      <c r="M200" s="140">
        <f>(H200-F200)/5280</f>
        <v>9.4696969696969696E-2</v>
      </c>
      <c r="N200" s="140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</row>
    <row r="201" spans="2:33" ht="12.6" customHeight="1" x14ac:dyDescent="0.2">
      <c r="B201" s="22">
        <v>1</v>
      </c>
      <c r="D201" s="114" t="s">
        <v>219</v>
      </c>
      <c r="E201" s="114" t="s">
        <v>740</v>
      </c>
      <c r="F201" s="147">
        <v>67650</v>
      </c>
      <c r="G201" s="114"/>
      <c r="H201" s="147">
        <v>68150</v>
      </c>
      <c r="I201" s="217" t="s">
        <v>24</v>
      </c>
      <c r="J201" s="212">
        <v>1</v>
      </c>
      <c r="K201" s="139"/>
      <c r="L201" s="109">
        <f>ROUNDUP((H201-F201)/80,0)</f>
        <v>7</v>
      </c>
      <c r="M201" s="140"/>
      <c r="N201" s="140">
        <f>(H201-F201)/5280</f>
        <v>9.4696969696969696E-2</v>
      </c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</row>
    <row r="202" spans="2:33" ht="12.6" customHeight="1" x14ac:dyDescent="0.2">
      <c r="B202" s="22">
        <v>1</v>
      </c>
      <c r="D202" s="114" t="s">
        <v>595</v>
      </c>
      <c r="E202" s="114" t="s">
        <v>740</v>
      </c>
      <c r="F202" s="147">
        <v>67650</v>
      </c>
      <c r="G202" s="114"/>
      <c r="H202" s="147">
        <v>68150</v>
      </c>
      <c r="I202" s="217" t="s">
        <v>24</v>
      </c>
      <c r="J202" s="212">
        <v>1</v>
      </c>
      <c r="K202" s="141">
        <f>ROUNDUP((H202-F202)/80,0)</f>
        <v>7</v>
      </c>
      <c r="L202" s="114"/>
      <c r="M202" s="140"/>
      <c r="N202" s="140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</row>
    <row r="203" spans="2:33" ht="12.6" customHeight="1" x14ac:dyDescent="0.2">
      <c r="B203" s="22">
        <v>1</v>
      </c>
      <c r="D203" s="114" t="s">
        <v>220</v>
      </c>
      <c r="E203" s="114" t="s">
        <v>740</v>
      </c>
      <c r="F203" s="147">
        <v>67887</v>
      </c>
      <c r="G203" s="114"/>
      <c r="H203" s="147">
        <v>68150</v>
      </c>
      <c r="I203" s="217" t="s">
        <v>24</v>
      </c>
      <c r="J203" s="212">
        <v>1</v>
      </c>
      <c r="K203" s="139"/>
      <c r="L203" s="109">
        <f>ROUNDUP((H203-F203)/80,0)</f>
        <v>4</v>
      </c>
      <c r="M203" s="114"/>
      <c r="N203" s="140">
        <f>(H203-F203)/5280</f>
        <v>4.9810606060606062E-2</v>
      </c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</row>
    <row r="204" spans="2:33" ht="12.6" customHeight="1" x14ac:dyDescent="0.2">
      <c r="B204" s="22">
        <v>1</v>
      </c>
      <c r="D204" s="114" t="s">
        <v>596</v>
      </c>
      <c r="E204" s="114" t="s">
        <v>740</v>
      </c>
      <c r="F204" s="147">
        <v>67887</v>
      </c>
      <c r="G204" s="114"/>
      <c r="H204" s="147">
        <v>68150</v>
      </c>
      <c r="I204" s="217" t="s">
        <v>24</v>
      </c>
      <c r="J204" s="212">
        <v>1</v>
      </c>
      <c r="K204" s="141">
        <f>ROUNDUP((H204-F204)/80,0)</f>
        <v>4</v>
      </c>
      <c r="L204" s="114"/>
      <c r="M204" s="114"/>
      <c r="N204" s="140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</row>
    <row r="205" spans="2:33" ht="12.75" customHeight="1" x14ac:dyDescent="0.2">
      <c r="B205" s="22">
        <v>1</v>
      </c>
      <c r="D205" s="114" t="s">
        <v>221</v>
      </c>
      <c r="E205" s="114" t="s">
        <v>740</v>
      </c>
      <c r="F205" s="147">
        <v>67887</v>
      </c>
      <c r="G205" s="114"/>
      <c r="H205" s="147">
        <v>68150</v>
      </c>
      <c r="I205" s="217" t="s">
        <v>35</v>
      </c>
      <c r="J205" s="212">
        <v>1</v>
      </c>
      <c r="K205" s="139"/>
      <c r="L205" s="114"/>
      <c r="M205" s="114"/>
      <c r="N205" s="114"/>
      <c r="O205" s="114"/>
      <c r="P205" s="114"/>
      <c r="Q205" s="114"/>
      <c r="R205" s="114"/>
      <c r="S205" s="114">
        <f>1.5+2+2.5+3.5+4.5+8+9.5+11+12.5</f>
        <v>55</v>
      </c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</row>
    <row r="206" spans="2:33" ht="12.75" customHeight="1" x14ac:dyDescent="0.2">
      <c r="B206" s="22"/>
      <c r="D206" s="114"/>
      <c r="E206" s="114"/>
      <c r="F206" s="147"/>
      <c r="G206" s="114"/>
      <c r="H206" s="147"/>
      <c r="I206" s="217"/>
      <c r="J206" s="212"/>
      <c r="K206" s="139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</row>
    <row r="207" spans="2:33" ht="12.75" customHeight="1" x14ac:dyDescent="0.2">
      <c r="B207" s="22">
        <v>1</v>
      </c>
      <c r="D207" s="114" t="s">
        <v>222</v>
      </c>
      <c r="E207" s="114" t="s">
        <v>741</v>
      </c>
      <c r="F207" s="147">
        <v>68150</v>
      </c>
      <c r="G207" s="114"/>
      <c r="H207" s="147">
        <v>68187</v>
      </c>
      <c r="I207" s="217" t="s">
        <v>25</v>
      </c>
      <c r="J207" s="212">
        <v>1</v>
      </c>
      <c r="K207" s="139"/>
      <c r="L207" s="114"/>
      <c r="M207" s="140">
        <f>(H207-F207)/5280</f>
        <v>7.0075757575757576E-3</v>
      </c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</row>
    <row r="208" spans="2:33" ht="12.75" customHeight="1" x14ac:dyDescent="0.2">
      <c r="B208" s="22">
        <v>1</v>
      </c>
      <c r="D208" s="114" t="s">
        <v>223</v>
      </c>
      <c r="E208" s="114" t="s">
        <v>741</v>
      </c>
      <c r="F208" s="147">
        <v>68150</v>
      </c>
      <c r="G208" s="114"/>
      <c r="H208" s="147">
        <v>68187</v>
      </c>
      <c r="I208" s="217" t="s">
        <v>24</v>
      </c>
      <c r="J208" s="212">
        <v>1</v>
      </c>
      <c r="K208" s="139"/>
      <c r="L208" s="114"/>
      <c r="M208" s="140">
        <f>(H208-F208)/5280</f>
        <v>7.0075757575757576E-3</v>
      </c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</row>
    <row r="209" spans="2:33" ht="12.75" customHeight="1" x14ac:dyDescent="0.2">
      <c r="B209" s="22">
        <v>1</v>
      </c>
      <c r="D209" s="114" t="s">
        <v>224</v>
      </c>
      <c r="E209" s="114" t="s">
        <v>741</v>
      </c>
      <c r="F209" s="147">
        <v>68187</v>
      </c>
      <c r="G209" s="114"/>
      <c r="H209" s="147">
        <v>68399</v>
      </c>
      <c r="I209" s="217" t="s">
        <v>25</v>
      </c>
      <c r="J209" s="212">
        <v>1</v>
      </c>
      <c r="K209" s="139"/>
      <c r="L209" s="114"/>
      <c r="M209" s="140">
        <f>(H209-F209)/5280</f>
        <v>4.0151515151515153E-2</v>
      </c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</row>
    <row r="210" spans="2:33" ht="12.75" customHeight="1" x14ac:dyDescent="0.2">
      <c r="B210" s="22">
        <v>1</v>
      </c>
      <c r="D210" s="114" t="s">
        <v>602</v>
      </c>
      <c r="E210" s="114" t="s">
        <v>741</v>
      </c>
      <c r="F210" s="147">
        <v>68187</v>
      </c>
      <c r="G210" s="114"/>
      <c r="H210" s="147">
        <v>68399</v>
      </c>
      <c r="I210" s="217" t="s">
        <v>25</v>
      </c>
      <c r="J210" s="212">
        <v>1</v>
      </c>
      <c r="K210" s="141">
        <f>ROUNDUP((H210-F210)/40,0)</f>
        <v>6</v>
      </c>
      <c r="L210" s="114"/>
      <c r="M210" s="140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</row>
    <row r="211" spans="2:33" ht="12.75" customHeight="1" x14ac:dyDescent="0.2">
      <c r="B211" s="22">
        <v>1</v>
      </c>
      <c r="D211" s="114" t="s">
        <v>225</v>
      </c>
      <c r="E211" s="114" t="s">
        <v>741</v>
      </c>
      <c r="F211" s="147">
        <v>68187</v>
      </c>
      <c r="G211" s="114"/>
      <c r="H211" s="147">
        <v>68397</v>
      </c>
      <c r="I211" s="217" t="s">
        <v>24</v>
      </c>
      <c r="J211" s="212">
        <v>1</v>
      </c>
      <c r="K211" s="139"/>
      <c r="L211" s="114"/>
      <c r="M211" s="140">
        <f>(H211-F211)/5280</f>
        <v>3.9772727272727272E-2</v>
      </c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</row>
    <row r="212" spans="2:33" ht="12.75" customHeight="1" x14ac:dyDescent="0.2">
      <c r="B212" s="22">
        <v>1</v>
      </c>
      <c r="D212" s="114" t="s">
        <v>603</v>
      </c>
      <c r="E212" s="114" t="s">
        <v>741</v>
      </c>
      <c r="F212" s="147">
        <v>68187</v>
      </c>
      <c r="G212" s="114"/>
      <c r="H212" s="147">
        <v>68397</v>
      </c>
      <c r="I212" s="217" t="s">
        <v>24</v>
      </c>
      <c r="J212" s="212">
        <v>1</v>
      </c>
      <c r="K212" s="141">
        <f>ROUNDUP((H212-F212)/40,0)</f>
        <v>6</v>
      </c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</row>
    <row r="213" spans="2:33" ht="12.75" customHeight="1" x14ac:dyDescent="0.2">
      <c r="B213" s="22">
        <v>1</v>
      </c>
      <c r="D213" s="114" t="s">
        <v>226</v>
      </c>
      <c r="E213" s="114" t="s">
        <v>741</v>
      </c>
      <c r="F213" s="147">
        <v>68397</v>
      </c>
      <c r="G213" s="114"/>
      <c r="H213" s="147">
        <v>68399</v>
      </c>
      <c r="I213" s="217" t="s">
        <v>35</v>
      </c>
      <c r="J213" s="212">
        <v>1</v>
      </c>
      <c r="K213" s="139"/>
      <c r="L213" s="114"/>
      <c r="M213" s="140">
        <f>(24.5+17.5)/5280</f>
        <v>7.9545454545454537E-3</v>
      </c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</row>
    <row r="214" spans="2:33" ht="12.75" customHeight="1" x14ac:dyDescent="0.2">
      <c r="B214" s="22">
        <v>1</v>
      </c>
      <c r="D214" s="114" t="s">
        <v>599</v>
      </c>
      <c r="E214" s="114" t="s">
        <v>741</v>
      </c>
      <c r="F214" s="147">
        <v>68397</v>
      </c>
      <c r="G214" s="114"/>
      <c r="H214" s="147">
        <v>68399</v>
      </c>
      <c r="I214" s="217" t="s">
        <v>35</v>
      </c>
      <c r="J214" s="212">
        <v>1</v>
      </c>
      <c r="K214" s="141">
        <v>2</v>
      </c>
      <c r="L214" s="114"/>
      <c r="M214" s="140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</row>
    <row r="215" spans="2:33" ht="12.6" customHeight="1" x14ac:dyDescent="0.2">
      <c r="B215" s="22">
        <v>1</v>
      </c>
      <c r="D215" s="114" t="s">
        <v>227</v>
      </c>
      <c r="E215" s="114" t="s">
        <v>741</v>
      </c>
      <c r="F215" s="147">
        <v>5180</v>
      </c>
      <c r="G215" s="114"/>
      <c r="H215" s="147">
        <v>5179</v>
      </c>
      <c r="I215" s="217" t="s">
        <v>24</v>
      </c>
      <c r="J215" s="212">
        <v>1</v>
      </c>
      <c r="K215" s="139"/>
      <c r="L215" s="114"/>
      <c r="M215" s="140">
        <f>(19+17.5)/5280</f>
        <v>6.9128787878787882E-3</v>
      </c>
      <c r="N215" s="140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</row>
    <row r="216" spans="2:33" ht="12.6" customHeight="1" x14ac:dyDescent="0.2">
      <c r="B216" s="22">
        <v>1</v>
      </c>
      <c r="D216" s="114" t="s">
        <v>600</v>
      </c>
      <c r="E216" s="114" t="s">
        <v>741</v>
      </c>
      <c r="F216" s="147">
        <v>5180</v>
      </c>
      <c r="G216" s="114"/>
      <c r="H216" s="147">
        <v>5179</v>
      </c>
      <c r="I216" s="217" t="s">
        <v>24</v>
      </c>
      <c r="J216" s="212">
        <v>1</v>
      </c>
      <c r="K216" s="141">
        <v>2</v>
      </c>
      <c r="L216" s="114"/>
      <c r="M216" s="140"/>
      <c r="N216" s="140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</row>
    <row r="217" spans="2:33" ht="12.75" customHeight="1" x14ac:dyDescent="0.2">
      <c r="B217" s="22">
        <v>1</v>
      </c>
      <c r="D217" s="114" t="s">
        <v>229</v>
      </c>
      <c r="E217" s="114" t="s">
        <v>741</v>
      </c>
      <c r="F217" s="147">
        <v>5100</v>
      </c>
      <c r="G217" s="114"/>
      <c r="H217" s="147">
        <v>5180</v>
      </c>
      <c r="I217" s="217" t="s">
        <v>24</v>
      </c>
      <c r="J217" s="212">
        <v>1</v>
      </c>
      <c r="K217" s="139"/>
      <c r="L217" s="114"/>
      <c r="M217" s="140">
        <f>(H217-F217)/5280</f>
        <v>1.5151515151515152E-2</v>
      </c>
      <c r="N217" s="140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</row>
    <row r="218" spans="2:33" ht="12.75" customHeight="1" x14ac:dyDescent="0.2">
      <c r="B218" s="22">
        <v>1</v>
      </c>
      <c r="D218" s="114" t="s">
        <v>604</v>
      </c>
      <c r="E218" s="114" t="s">
        <v>741</v>
      </c>
      <c r="F218" s="147">
        <v>5100</v>
      </c>
      <c r="G218" s="114"/>
      <c r="H218" s="147">
        <v>5180</v>
      </c>
      <c r="I218" s="217" t="s">
        <v>24</v>
      </c>
      <c r="J218" s="212">
        <v>1</v>
      </c>
      <c r="K218" s="141">
        <f>ROUNDUP((H218-F218)/40,0)</f>
        <v>2</v>
      </c>
      <c r="L218" s="114"/>
      <c r="M218" s="140"/>
      <c r="N218" s="140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</row>
    <row r="219" spans="2:33" ht="12.75" customHeight="1" x14ac:dyDescent="0.2">
      <c r="B219" s="22">
        <v>1</v>
      </c>
      <c r="D219" s="114" t="s">
        <v>230</v>
      </c>
      <c r="E219" s="114" t="s">
        <v>741</v>
      </c>
      <c r="F219" s="147">
        <v>5100</v>
      </c>
      <c r="G219" s="114"/>
      <c r="H219" s="147">
        <v>5179</v>
      </c>
      <c r="I219" s="217" t="s">
        <v>24</v>
      </c>
      <c r="J219" s="212">
        <v>1</v>
      </c>
      <c r="K219" s="139"/>
      <c r="L219" s="114"/>
      <c r="M219" s="140">
        <f>(H219-F219)/5280</f>
        <v>1.4962121212121211E-2</v>
      </c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</row>
    <row r="220" spans="2:33" ht="12.75" customHeight="1" x14ac:dyDescent="0.2">
      <c r="B220" s="22">
        <v>1</v>
      </c>
      <c r="D220" s="114" t="s">
        <v>605</v>
      </c>
      <c r="E220" s="114" t="s">
        <v>741</v>
      </c>
      <c r="F220" s="147">
        <v>5100</v>
      </c>
      <c r="G220" s="114"/>
      <c r="H220" s="147">
        <v>5179</v>
      </c>
      <c r="I220" s="217" t="s">
        <v>24</v>
      </c>
      <c r="J220" s="212">
        <v>1</v>
      </c>
      <c r="K220" s="141">
        <f>ROUNDUP((H220-F220)/40,0)</f>
        <v>2</v>
      </c>
      <c r="L220" s="114"/>
      <c r="M220" s="140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</row>
    <row r="221" spans="2:33" ht="12.75" customHeight="1" x14ac:dyDescent="0.2">
      <c r="B221" s="22">
        <v>1</v>
      </c>
      <c r="D221" s="114" t="s">
        <v>228</v>
      </c>
      <c r="E221" s="114" t="s">
        <v>741</v>
      </c>
      <c r="F221" s="147">
        <v>68531</v>
      </c>
      <c r="G221" s="114"/>
      <c r="H221" s="147">
        <v>68534</v>
      </c>
      <c r="I221" s="217" t="s">
        <v>35</v>
      </c>
      <c r="J221" s="212">
        <v>1</v>
      </c>
      <c r="K221" s="139"/>
      <c r="L221" s="114"/>
      <c r="M221" s="140">
        <f>(26+14)/5280</f>
        <v>7.575757575757576E-3</v>
      </c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</row>
    <row r="222" spans="2:33" ht="12.75" customHeight="1" x14ac:dyDescent="0.2">
      <c r="B222" s="22">
        <v>1</v>
      </c>
      <c r="D222" s="114" t="s">
        <v>601</v>
      </c>
      <c r="E222" s="114" t="s">
        <v>741</v>
      </c>
      <c r="F222" s="147">
        <v>68531</v>
      </c>
      <c r="G222" s="114"/>
      <c r="H222" s="147">
        <v>68534</v>
      </c>
      <c r="I222" s="217" t="s">
        <v>35</v>
      </c>
      <c r="J222" s="212">
        <v>1</v>
      </c>
      <c r="K222" s="141">
        <v>2</v>
      </c>
      <c r="L222" s="114"/>
      <c r="M222" s="140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</row>
    <row r="223" spans="2:33" ht="12.75" customHeight="1" x14ac:dyDescent="0.2">
      <c r="B223" s="22">
        <v>1</v>
      </c>
      <c r="D223" s="114" t="s">
        <v>231</v>
      </c>
      <c r="E223" s="114" t="s">
        <v>741</v>
      </c>
      <c r="F223" s="147">
        <v>68534</v>
      </c>
      <c r="G223" s="114"/>
      <c r="H223" s="147">
        <v>68650</v>
      </c>
      <c r="I223" s="217" t="s">
        <v>25</v>
      </c>
      <c r="J223" s="212">
        <v>1</v>
      </c>
      <c r="K223" s="139"/>
      <c r="L223" s="114"/>
      <c r="M223" s="140">
        <f>(H223-F223)/5280</f>
        <v>2.1969696969696969E-2</v>
      </c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</row>
    <row r="224" spans="2:33" ht="12.75" customHeight="1" x14ac:dyDescent="0.2">
      <c r="B224" s="22">
        <v>1</v>
      </c>
      <c r="D224" s="114" t="s">
        <v>606</v>
      </c>
      <c r="E224" s="114" t="s">
        <v>741</v>
      </c>
      <c r="F224" s="147">
        <v>68534</v>
      </c>
      <c r="G224" s="114"/>
      <c r="H224" s="147">
        <v>68650</v>
      </c>
      <c r="I224" s="217" t="s">
        <v>25</v>
      </c>
      <c r="J224" s="212">
        <v>1</v>
      </c>
      <c r="K224" s="141">
        <f>ROUNDUP((H224-F224)/40,0)</f>
        <v>3</v>
      </c>
      <c r="L224" s="114"/>
      <c r="M224" s="140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</row>
    <row r="225" spans="2:33" ht="12.75" customHeight="1" x14ac:dyDescent="0.2">
      <c r="B225" s="22">
        <v>1</v>
      </c>
      <c r="D225" s="114" t="s">
        <v>232</v>
      </c>
      <c r="E225" s="114" t="s">
        <v>741</v>
      </c>
      <c r="F225" s="147">
        <v>68531</v>
      </c>
      <c r="G225" s="114"/>
      <c r="H225" s="147">
        <v>68650</v>
      </c>
      <c r="I225" s="217" t="s">
        <v>24</v>
      </c>
      <c r="J225" s="212">
        <v>1</v>
      </c>
      <c r="K225" s="139"/>
      <c r="L225" s="114"/>
      <c r="M225" s="140">
        <f>(H225-F225)/5280</f>
        <v>2.2537878787878787E-2</v>
      </c>
      <c r="N225" s="140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</row>
    <row r="226" spans="2:33" ht="12.75" customHeight="1" x14ac:dyDescent="0.2">
      <c r="B226" s="22">
        <v>1</v>
      </c>
      <c r="D226" s="114" t="s">
        <v>607</v>
      </c>
      <c r="E226" s="114" t="s">
        <v>741</v>
      </c>
      <c r="F226" s="147">
        <v>68531</v>
      </c>
      <c r="G226" s="114"/>
      <c r="H226" s="147">
        <v>68650</v>
      </c>
      <c r="I226" s="217" t="s">
        <v>24</v>
      </c>
      <c r="J226" s="212">
        <v>1</v>
      </c>
      <c r="K226" s="141">
        <f>ROUNDUP((H226-F226)/40,0)</f>
        <v>3</v>
      </c>
      <c r="L226" s="114"/>
      <c r="M226" s="114"/>
      <c r="N226" s="140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</row>
    <row r="227" spans="2:33" ht="12.6" customHeight="1" x14ac:dyDescent="0.2">
      <c r="B227" s="22">
        <v>1</v>
      </c>
      <c r="D227" s="114" t="s">
        <v>234</v>
      </c>
      <c r="E227" s="114" t="s">
        <v>741</v>
      </c>
      <c r="F227" s="147">
        <v>68150</v>
      </c>
      <c r="G227" s="114"/>
      <c r="H227" s="147">
        <v>68187</v>
      </c>
      <c r="I227" s="217" t="s">
        <v>25</v>
      </c>
      <c r="J227" s="212">
        <v>1</v>
      </c>
      <c r="K227" s="139"/>
      <c r="L227" s="109">
        <f>ROUNDUP((H227-F227)/80,0)</f>
        <v>1</v>
      </c>
      <c r="M227" s="140"/>
      <c r="N227" s="140">
        <f>(H227-F227)/5280</f>
        <v>7.0075757575757576E-3</v>
      </c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</row>
    <row r="228" spans="2:33" ht="12.75" customHeight="1" x14ac:dyDescent="0.2">
      <c r="B228" s="22">
        <v>1</v>
      </c>
      <c r="D228" s="114" t="s">
        <v>597</v>
      </c>
      <c r="E228" s="114" t="s">
        <v>741</v>
      </c>
      <c r="F228" s="147">
        <v>68150</v>
      </c>
      <c r="G228" s="114"/>
      <c r="H228" s="147">
        <v>68187</v>
      </c>
      <c r="I228" s="217" t="s">
        <v>25</v>
      </c>
      <c r="J228" s="212">
        <v>1</v>
      </c>
      <c r="K228" s="141">
        <f>ROUNDUP((H228-F228)/80,0)</f>
        <v>1</v>
      </c>
      <c r="L228" s="114"/>
      <c r="M228" s="140"/>
      <c r="N228" s="140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</row>
    <row r="229" spans="2:33" ht="12.75" customHeight="1" x14ac:dyDescent="0.2">
      <c r="B229" s="22">
        <v>1</v>
      </c>
      <c r="D229" s="114" t="s">
        <v>233</v>
      </c>
      <c r="E229" s="114" t="s">
        <v>741</v>
      </c>
      <c r="F229" s="147">
        <v>68150</v>
      </c>
      <c r="G229" s="114"/>
      <c r="H229" s="147">
        <v>68187</v>
      </c>
      <c r="I229" s="217" t="s">
        <v>24</v>
      </c>
      <c r="J229" s="212">
        <v>1</v>
      </c>
      <c r="K229" s="139"/>
      <c r="L229" s="109">
        <f>ROUNDUP((H229-F229)/80,0)</f>
        <v>1</v>
      </c>
      <c r="M229" s="140"/>
      <c r="N229" s="140">
        <f>(H229-F229)/5280</f>
        <v>7.0075757575757576E-3</v>
      </c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</row>
    <row r="230" spans="2:33" ht="12.75" customHeight="1" x14ac:dyDescent="0.2">
      <c r="B230" s="22">
        <v>1</v>
      </c>
      <c r="D230" s="114" t="s">
        <v>598</v>
      </c>
      <c r="E230" s="114" t="s">
        <v>741</v>
      </c>
      <c r="F230" s="147">
        <v>68150</v>
      </c>
      <c r="G230" s="114"/>
      <c r="H230" s="147">
        <v>68187</v>
      </c>
      <c r="I230" s="217" t="s">
        <v>24</v>
      </c>
      <c r="J230" s="212">
        <v>1</v>
      </c>
      <c r="K230" s="141">
        <f>ROUNDUP((H230-F230)/80,0)</f>
        <v>1</v>
      </c>
      <c r="L230" s="114"/>
      <c r="M230" s="140"/>
      <c r="N230" s="140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</row>
    <row r="231" spans="2:33" ht="12.75" customHeight="1" x14ac:dyDescent="0.2">
      <c r="B231" s="22">
        <v>1</v>
      </c>
      <c r="D231" s="114" t="s">
        <v>235</v>
      </c>
      <c r="E231" s="114" t="s">
        <v>741</v>
      </c>
      <c r="F231" s="147">
        <v>68150</v>
      </c>
      <c r="G231" s="114"/>
      <c r="H231" s="147">
        <v>68187</v>
      </c>
      <c r="I231" s="217" t="s">
        <v>35</v>
      </c>
      <c r="J231" s="212">
        <v>1</v>
      </c>
      <c r="K231" s="139"/>
      <c r="L231" s="114"/>
      <c r="M231" s="114"/>
      <c r="N231" s="140"/>
      <c r="O231" s="114"/>
      <c r="P231" s="114"/>
      <c r="Q231" s="114"/>
      <c r="R231" s="114"/>
      <c r="S231" s="114">
        <f>2.5+13.5+14+15</f>
        <v>45</v>
      </c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</row>
    <row r="232" spans="2:33" ht="12.75" customHeight="1" x14ac:dyDescent="0.2">
      <c r="B232" s="22">
        <v>1</v>
      </c>
      <c r="D232" s="114" t="s">
        <v>256</v>
      </c>
      <c r="E232" s="114" t="s">
        <v>741</v>
      </c>
      <c r="F232" s="147">
        <v>68497</v>
      </c>
      <c r="G232" s="114"/>
      <c r="H232" s="147"/>
      <c r="I232" s="217" t="s">
        <v>24</v>
      </c>
      <c r="J232" s="212">
        <v>1</v>
      </c>
      <c r="K232" s="139"/>
      <c r="L232" s="114"/>
      <c r="M232" s="140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>
        <f>18+24</f>
        <v>42</v>
      </c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</row>
    <row r="233" spans="2:33" ht="12.75" customHeight="1" x14ac:dyDescent="0.2">
      <c r="B233" s="22">
        <v>1</v>
      </c>
      <c r="D233" s="114" t="s">
        <v>257</v>
      </c>
      <c r="E233" s="114" t="s">
        <v>741</v>
      </c>
      <c r="F233" s="147">
        <v>68500</v>
      </c>
      <c r="G233" s="114"/>
      <c r="H233" s="147"/>
      <c r="I233" s="217" t="s">
        <v>24</v>
      </c>
      <c r="J233" s="212">
        <v>1</v>
      </c>
      <c r="K233" s="139"/>
      <c r="L233" s="114"/>
      <c r="M233" s="140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>
        <f>17+23</f>
        <v>40</v>
      </c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</row>
    <row r="234" spans="2:33" ht="12.75" customHeight="1" x14ac:dyDescent="0.2">
      <c r="B234" s="22">
        <v>1</v>
      </c>
      <c r="D234" s="114" t="s">
        <v>258</v>
      </c>
      <c r="E234" s="114" t="s">
        <v>741</v>
      </c>
      <c r="F234" s="147">
        <v>68510</v>
      </c>
      <c r="G234" s="114"/>
      <c r="H234" s="147" t="s">
        <v>60</v>
      </c>
      <c r="I234" s="217" t="s">
        <v>25</v>
      </c>
      <c r="J234" s="212">
        <v>1</v>
      </c>
      <c r="K234" s="139"/>
      <c r="L234" s="114"/>
      <c r="M234" s="114"/>
      <c r="N234" s="140"/>
      <c r="O234" s="114"/>
      <c r="P234" s="114"/>
      <c r="Q234" s="114"/>
      <c r="R234" s="114"/>
      <c r="S234" s="114"/>
      <c r="T234" s="114"/>
      <c r="U234" s="114"/>
      <c r="V234" s="114"/>
      <c r="W234" s="114">
        <f>18+14</f>
        <v>32</v>
      </c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</row>
    <row r="235" spans="2:33" ht="12.75" customHeight="1" x14ac:dyDescent="0.2">
      <c r="B235" s="22">
        <v>1</v>
      </c>
      <c r="D235" s="114" t="s">
        <v>236</v>
      </c>
      <c r="E235" s="114" t="s">
        <v>741</v>
      </c>
      <c r="F235" s="147">
        <v>68395</v>
      </c>
      <c r="G235" s="114"/>
      <c r="H235" s="147"/>
      <c r="I235" s="217" t="s">
        <v>24</v>
      </c>
      <c r="J235" s="212">
        <v>1</v>
      </c>
      <c r="K235" s="139"/>
      <c r="L235" s="114"/>
      <c r="M235" s="114"/>
      <c r="N235" s="140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>
        <v>12</v>
      </c>
      <c r="Y235" s="114"/>
      <c r="Z235" s="114"/>
      <c r="AA235" s="114"/>
      <c r="AB235" s="114"/>
      <c r="AC235" s="114"/>
      <c r="AD235" s="114"/>
      <c r="AE235" s="114"/>
      <c r="AF235" s="114"/>
      <c r="AG235" s="114"/>
    </row>
    <row r="236" spans="2:33" ht="12.75" customHeight="1" x14ac:dyDescent="0.2">
      <c r="B236" s="22">
        <v>1</v>
      </c>
      <c r="D236" s="114" t="s">
        <v>237</v>
      </c>
      <c r="E236" s="114" t="s">
        <v>741</v>
      </c>
      <c r="F236" s="147">
        <v>68486</v>
      </c>
      <c r="G236" s="114"/>
      <c r="H236" s="147"/>
      <c r="I236" s="217" t="s">
        <v>24</v>
      </c>
      <c r="J236" s="212">
        <v>1</v>
      </c>
      <c r="K236" s="139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>
        <v>12</v>
      </c>
      <c r="Y236" s="114"/>
      <c r="Z236" s="114"/>
      <c r="AA236" s="114"/>
      <c r="AB236" s="114"/>
      <c r="AC236" s="114"/>
      <c r="AD236" s="114"/>
      <c r="AE236" s="114"/>
      <c r="AF236" s="114"/>
      <c r="AG236" s="114"/>
    </row>
    <row r="237" spans="2:33" ht="12.75" customHeight="1" x14ac:dyDescent="0.2">
      <c r="B237" s="22">
        <v>1</v>
      </c>
      <c r="D237" s="114" t="s">
        <v>238</v>
      </c>
      <c r="E237" s="114" t="s">
        <v>741</v>
      </c>
      <c r="F237" s="147">
        <v>68434</v>
      </c>
      <c r="G237" s="114"/>
      <c r="H237" s="147"/>
      <c r="I237" s="217" t="s">
        <v>25</v>
      </c>
      <c r="J237" s="212">
        <v>1</v>
      </c>
      <c r="K237" s="139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>
        <v>12</v>
      </c>
      <c r="Y237" s="114"/>
      <c r="Z237" s="114"/>
      <c r="AA237" s="114"/>
      <c r="AB237" s="114"/>
      <c r="AC237" s="114"/>
      <c r="AD237" s="114"/>
      <c r="AE237" s="114"/>
      <c r="AF237" s="114"/>
      <c r="AG237" s="114"/>
    </row>
    <row r="238" spans="2:33" ht="12.75" customHeight="1" x14ac:dyDescent="0.2">
      <c r="B238" s="22">
        <v>1</v>
      </c>
      <c r="D238" s="114" t="s">
        <v>685</v>
      </c>
      <c r="E238" s="114" t="s">
        <v>741</v>
      </c>
      <c r="F238" s="147">
        <v>68358</v>
      </c>
      <c r="G238" s="114"/>
      <c r="H238" s="147"/>
      <c r="I238" s="217" t="s">
        <v>25</v>
      </c>
      <c r="J238" s="212">
        <v>1</v>
      </c>
      <c r="K238" s="139"/>
      <c r="L238" s="114"/>
      <c r="M238" s="114"/>
      <c r="N238" s="114"/>
      <c r="O238" s="114"/>
      <c r="P238" s="114"/>
      <c r="Q238" s="114"/>
      <c r="R238" s="114">
        <f>4*10</f>
        <v>40</v>
      </c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</row>
    <row r="239" spans="2:33" ht="12.75" customHeight="1" x14ac:dyDescent="0.2">
      <c r="B239" s="22">
        <v>1</v>
      </c>
      <c r="D239" s="114" t="s">
        <v>686</v>
      </c>
      <c r="E239" s="114" t="s">
        <v>741</v>
      </c>
      <c r="F239" s="147">
        <v>68358</v>
      </c>
      <c r="G239" s="114"/>
      <c r="H239" s="147"/>
      <c r="I239" s="217" t="s">
        <v>24</v>
      </c>
      <c r="J239" s="212">
        <v>1</v>
      </c>
      <c r="K239" s="139"/>
      <c r="L239" s="114"/>
      <c r="M239" s="140"/>
      <c r="N239" s="114"/>
      <c r="O239" s="114"/>
      <c r="P239" s="114"/>
      <c r="Q239" s="114"/>
      <c r="R239" s="114">
        <f>4*10</f>
        <v>40</v>
      </c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</row>
    <row r="240" spans="2:33" ht="12.75" customHeight="1" x14ac:dyDescent="0.2">
      <c r="B240" s="22"/>
      <c r="D240" s="114"/>
      <c r="E240" s="114"/>
      <c r="F240" s="147"/>
      <c r="G240" s="114"/>
      <c r="H240" s="147"/>
      <c r="I240" s="217"/>
      <c r="J240" s="212"/>
      <c r="K240" s="139"/>
      <c r="L240" s="114"/>
      <c r="M240" s="140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</row>
    <row r="241" spans="2:33" ht="12.75" customHeight="1" x14ac:dyDescent="0.2">
      <c r="B241" s="22"/>
      <c r="D241" s="114"/>
      <c r="E241" s="114"/>
      <c r="F241" s="147"/>
      <c r="G241" s="114"/>
      <c r="H241" s="147"/>
      <c r="I241" s="217"/>
      <c r="J241" s="212"/>
      <c r="K241" s="141"/>
      <c r="L241" s="114"/>
      <c r="M241" s="114"/>
      <c r="N241" s="140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</row>
    <row r="242" spans="2:33" ht="12.75" customHeight="1" x14ac:dyDescent="0.2">
      <c r="B242" s="22"/>
      <c r="D242" s="114"/>
      <c r="E242" s="114"/>
      <c r="F242" s="147"/>
      <c r="G242" s="114"/>
      <c r="H242" s="147"/>
      <c r="I242" s="217"/>
      <c r="J242" s="212"/>
      <c r="K242" s="139"/>
      <c r="L242" s="114"/>
      <c r="M242" s="114"/>
      <c r="N242" s="140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</row>
    <row r="243" spans="2:33" ht="12.75" customHeight="1" x14ac:dyDescent="0.2">
      <c r="B243" s="22"/>
      <c r="D243" s="114"/>
      <c r="E243" s="114"/>
      <c r="F243" s="147"/>
      <c r="G243" s="114"/>
      <c r="H243" s="147"/>
      <c r="I243" s="217"/>
      <c r="J243" s="212"/>
      <c r="K243" s="141"/>
      <c r="L243" s="114"/>
      <c r="M243" s="114"/>
      <c r="N243" s="140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</row>
    <row r="244" spans="2:33" ht="12.75" customHeight="1" x14ac:dyDescent="0.2">
      <c r="B244" s="22"/>
      <c r="D244" s="114"/>
      <c r="E244" s="114"/>
      <c r="F244" s="147"/>
      <c r="G244" s="114"/>
      <c r="H244" s="147"/>
      <c r="I244" s="217"/>
      <c r="J244" s="212"/>
      <c r="K244" s="139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</row>
    <row r="245" spans="2:33" ht="12.75" customHeight="1" x14ac:dyDescent="0.2">
      <c r="B245" s="22"/>
      <c r="D245" s="114"/>
      <c r="E245" s="114"/>
      <c r="F245" s="147"/>
      <c r="G245" s="114"/>
      <c r="H245" s="147"/>
      <c r="I245" s="217"/>
      <c r="J245" s="212"/>
      <c r="K245" s="139"/>
      <c r="L245" s="114"/>
      <c r="M245" s="140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</row>
    <row r="246" spans="2:33" ht="12.75" customHeight="1" thickBot="1" x14ac:dyDescent="0.25">
      <c r="B246" s="22"/>
      <c r="D246" s="114"/>
      <c r="E246" s="114"/>
      <c r="F246" s="147"/>
      <c r="G246" s="114"/>
      <c r="H246" s="147"/>
      <c r="I246" s="217"/>
      <c r="J246" s="213"/>
      <c r="K246" s="139"/>
      <c r="L246" s="114"/>
      <c r="M246" s="140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</row>
    <row r="247" spans="2:33" ht="12.75" customHeight="1" x14ac:dyDescent="0.2">
      <c r="B247" s="5" t="s">
        <v>11</v>
      </c>
      <c r="D247" s="271" t="s">
        <v>767</v>
      </c>
      <c r="E247" s="272"/>
      <c r="F247" s="272"/>
      <c r="G247" s="272"/>
      <c r="H247" s="272"/>
      <c r="I247" s="272"/>
      <c r="J247" s="272"/>
      <c r="K247" s="173">
        <f>SUM(K187:K246)</f>
        <v>55</v>
      </c>
      <c r="L247" s="173">
        <f t="shared" ref="L247" si="13">SUM(L187:L246)</f>
        <v>27</v>
      </c>
      <c r="M247" s="173">
        <f t="shared" ref="M247" si="14">SUM(M187:M246)</f>
        <v>0.75918560606060614</v>
      </c>
      <c r="N247" s="173">
        <f t="shared" ref="N247" si="15">SUM(N187:N246)</f>
        <v>0.34791666666666665</v>
      </c>
      <c r="O247" s="173">
        <f t="shared" ref="O247" si="16">SUM(O187:O246)</f>
        <v>0</v>
      </c>
      <c r="P247" s="173">
        <f t="shared" ref="P247" si="17">SUM(P187:P246)</f>
        <v>0</v>
      </c>
      <c r="Q247" s="173">
        <f t="shared" ref="Q247" si="18">SUM(Q187:Q246)</f>
        <v>0</v>
      </c>
      <c r="R247" s="173">
        <f t="shared" ref="R247" si="19">SUM(R187:R246)</f>
        <v>80</v>
      </c>
      <c r="S247" s="173">
        <f t="shared" ref="S247" si="20">SUM(S187:S246)</f>
        <v>100</v>
      </c>
      <c r="T247" s="173">
        <f t="shared" ref="T247" si="21">SUM(T187:T246)</f>
        <v>0</v>
      </c>
      <c r="U247" s="173">
        <f t="shared" ref="U247" si="22">SUM(U187:U246)</f>
        <v>0</v>
      </c>
      <c r="V247" s="173">
        <f t="shared" ref="V247" si="23">SUM(V187:V246)</f>
        <v>0</v>
      </c>
      <c r="W247" s="173">
        <f t="shared" ref="W247" si="24">SUM(W187:W246)</f>
        <v>114</v>
      </c>
      <c r="X247" s="173">
        <f t="shared" ref="X247" si="25">SUM(X187:X246)</f>
        <v>36</v>
      </c>
      <c r="Y247" s="173">
        <f t="shared" ref="Y247" si="26">SUM(Y187:Y246)</f>
        <v>0</v>
      </c>
      <c r="Z247" s="173">
        <f t="shared" ref="Z247" si="27">SUM(Z187:Z246)</f>
        <v>0</v>
      </c>
      <c r="AA247" s="173">
        <f t="shared" ref="AA247" si="28">SUM(AA187:AA246)</f>
        <v>0</v>
      </c>
      <c r="AB247" s="173">
        <f t="shared" ref="AB247" si="29">SUM(AB187:AB246)</f>
        <v>0</v>
      </c>
      <c r="AC247" s="173">
        <f t="shared" ref="AC247" si="30">SUM(AC187:AC246)</f>
        <v>0</v>
      </c>
      <c r="AD247" s="173">
        <f t="shared" ref="AD247" si="31">SUM(AD187:AD246)</f>
        <v>0</v>
      </c>
      <c r="AE247" s="173">
        <f t="shared" ref="AE247" si="32">SUM(AE187:AE246)</f>
        <v>0</v>
      </c>
      <c r="AF247" s="173">
        <f t="shared" ref="AF247" si="33">SUM(AF187:AF246)</f>
        <v>0</v>
      </c>
      <c r="AG247" s="173">
        <f t="shared" ref="AG247" si="34">SUM(AG187:AG246)</f>
        <v>0</v>
      </c>
    </row>
    <row r="248" spans="2:33" ht="12.75" customHeight="1" x14ac:dyDescent="0.2">
      <c r="D248" s="191" t="s">
        <v>701</v>
      </c>
      <c r="E248" s="192"/>
      <c r="F248" s="192"/>
      <c r="G248" s="192"/>
      <c r="H248" s="192"/>
      <c r="I248" s="214"/>
      <c r="J248" s="214"/>
      <c r="K248" s="193">
        <f>SUMIF(J187:J246, 1, K187:K246)</f>
        <v>55</v>
      </c>
      <c r="L248" s="193">
        <f t="shared" ref="L248:AG248" si="35">SUMIF($J187:$J246, 1, L187:L246)</f>
        <v>27</v>
      </c>
      <c r="M248" s="193">
        <f t="shared" si="35"/>
        <v>0.75918560606060614</v>
      </c>
      <c r="N248" s="193">
        <f t="shared" si="35"/>
        <v>0.34791666666666665</v>
      </c>
      <c r="O248" s="193">
        <f t="shared" si="35"/>
        <v>0</v>
      </c>
      <c r="P248" s="193">
        <f t="shared" si="35"/>
        <v>0</v>
      </c>
      <c r="Q248" s="193">
        <f t="shared" si="35"/>
        <v>0</v>
      </c>
      <c r="R248" s="193">
        <f t="shared" si="35"/>
        <v>80</v>
      </c>
      <c r="S248" s="193">
        <f t="shared" si="35"/>
        <v>100</v>
      </c>
      <c r="T248" s="193">
        <f t="shared" si="35"/>
        <v>0</v>
      </c>
      <c r="U248" s="193">
        <f t="shared" si="35"/>
        <v>0</v>
      </c>
      <c r="V248" s="193">
        <f t="shared" si="35"/>
        <v>0</v>
      </c>
      <c r="W248" s="193">
        <f t="shared" si="35"/>
        <v>114</v>
      </c>
      <c r="X248" s="193">
        <f t="shared" si="35"/>
        <v>36</v>
      </c>
      <c r="Y248" s="193">
        <f t="shared" si="35"/>
        <v>0</v>
      </c>
      <c r="Z248" s="193">
        <f t="shared" si="35"/>
        <v>0</v>
      </c>
      <c r="AA248" s="193">
        <f t="shared" si="35"/>
        <v>0</v>
      </c>
      <c r="AB248" s="193">
        <f t="shared" si="35"/>
        <v>0</v>
      </c>
      <c r="AC248" s="193">
        <f t="shared" si="35"/>
        <v>0</v>
      </c>
      <c r="AD248" s="193">
        <f t="shared" si="35"/>
        <v>0</v>
      </c>
      <c r="AE248" s="193">
        <f t="shared" si="35"/>
        <v>0</v>
      </c>
      <c r="AF248" s="193">
        <f t="shared" si="35"/>
        <v>0</v>
      </c>
      <c r="AG248" s="193">
        <f t="shared" si="35"/>
        <v>0</v>
      </c>
    </row>
    <row r="249" spans="2:33" ht="12.75" customHeight="1" x14ac:dyDescent="0.2">
      <c r="D249" s="191" t="s">
        <v>702</v>
      </c>
      <c r="E249" s="192"/>
      <c r="F249" s="192"/>
      <c r="G249" s="192"/>
      <c r="H249" s="192"/>
      <c r="I249" s="214"/>
      <c r="J249" s="214"/>
      <c r="K249" s="193">
        <f>SUMIF(J187:J246, 4, K187:K246)</f>
        <v>0</v>
      </c>
      <c r="L249" s="193">
        <f t="shared" ref="L249:AG249" si="36">SUMIF($J187:$J246, 4, L187:L246)</f>
        <v>0</v>
      </c>
      <c r="M249" s="193">
        <f t="shared" si="36"/>
        <v>0</v>
      </c>
      <c r="N249" s="193">
        <f t="shared" si="36"/>
        <v>0</v>
      </c>
      <c r="O249" s="193">
        <f t="shared" si="36"/>
        <v>0</v>
      </c>
      <c r="P249" s="193">
        <f t="shared" si="36"/>
        <v>0</v>
      </c>
      <c r="Q249" s="193">
        <f t="shared" si="36"/>
        <v>0</v>
      </c>
      <c r="R249" s="193">
        <f t="shared" si="36"/>
        <v>0</v>
      </c>
      <c r="S249" s="193">
        <f t="shared" si="36"/>
        <v>0</v>
      </c>
      <c r="T249" s="193">
        <f t="shared" si="36"/>
        <v>0</v>
      </c>
      <c r="U249" s="193">
        <f t="shared" si="36"/>
        <v>0</v>
      </c>
      <c r="V249" s="193">
        <f t="shared" si="36"/>
        <v>0</v>
      </c>
      <c r="W249" s="193">
        <f t="shared" si="36"/>
        <v>0</v>
      </c>
      <c r="X249" s="193">
        <f t="shared" si="36"/>
        <v>0</v>
      </c>
      <c r="Y249" s="193">
        <f t="shared" si="36"/>
        <v>0</v>
      </c>
      <c r="Z249" s="193">
        <f t="shared" si="36"/>
        <v>0</v>
      </c>
      <c r="AA249" s="193">
        <f t="shared" si="36"/>
        <v>0</v>
      </c>
      <c r="AB249" s="193">
        <f t="shared" si="36"/>
        <v>0</v>
      </c>
      <c r="AC249" s="193">
        <f t="shared" si="36"/>
        <v>0</v>
      </c>
      <c r="AD249" s="193">
        <f t="shared" si="36"/>
        <v>0</v>
      </c>
      <c r="AE249" s="193">
        <f t="shared" si="36"/>
        <v>0</v>
      </c>
      <c r="AF249" s="193">
        <f t="shared" si="36"/>
        <v>0</v>
      </c>
      <c r="AG249" s="193">
        <f t="shared" si="36"/>
        <v>0</v>
      </c>
    </row>
    <row r="250" spans="2:33" ht="12.75" customHeight="1" x14ac:dyDescent="0.2">
      <c r="D250" s="191" t="s">
        <v>703</v>
      </c>
      <c r="E250" s="192"/>
      <c r="F250" s="192"/>
      <c r="G250" s="192"/>
      <c r="H250" s="192"/>
      <c r="I250" s="214"/>
      <c r="J250" s="214"/>
      <c r="K250" s="193">
        <f>SUMIF(J187:J246, 6, K187:K246)</f>
        <v>0</v>
      </c>
      <c r="L250" s="193">
        <f t="shared" ref="L250:AG250" si="37">SUMIF($J187:$J246, 6, L187:L246)</f>
        <v>0</v>
      </c>
      <c r="M250" s="193">
        <f t="shared" si="37"/>
        <v>0</v>
      </c>
      <c r="N250" s="193">
        <f t="shared" si="37"/>
        <v>0</v>
      </c>
      <c r="O250" s="193">
        <f t="shared" si="37"/>
        <v>0</v>
      </c>
      <c r="P250" s="193">
        <f t="shared" si="37"/>
        <v>0</v>
      </c>
      <c r="Q250" s="193">
        <f t="shared" si="37"/>
        <v>0</v>
      </c>
      <c r="R250" s="193">
        <f t="shared" si="37"/>
        <v>0</v>
      </c>
      <c r="S250" s="193">
        <f t="shared" si="37"/>
        <v>0</v>
      </c>
      <c r="T250" s="193">
        <f t="shared" si="37"/>
        <v>0</v>
      </c>
      <c r="U250" s="193">
        <f t="shared" si="37"/>
        <v>0</v>
      </c>
      <c r="V250" s="193">
        <f t="shared" si="37"/>
        <v>0</v>
      </c>
      <c r="W250" s="193">
        <f t="shared" si="37"/>
        <v>0</v>
      </c>
      <c r="X250" s="193">
        <f t="shared" si="37"/>
        <v>0</v>
      </c>
      <c r="Y250" s="193">
        <f t="shared" si="37"/>
        <v>0</v>
      </c>
      <c r="Z250" s="193">
        <f t="shared" si="37"/>
        <v>0</v>
      </c>
      <c r="AA250" s="193">
        <f t="shared" si="37"/>
        <v>0</v>
      </c>
      <c r="AB250" s="193">
        <f t="shared" si="37"/>
        <v>0</v>
      </c>
      <c r="AC250" s="193">
        <f t="shared" si="37"/>
        <v>0</v>
      </c>
      <c r="AD250" s="193">
        <f t="shared" si="37"/>
        <v>0</v>
      </c>
      <c r="AE250" s="193">
        <f t="shared" si="37"/>
        <v>0</v>
      </c>
      <c r="AF250" s="193">
        <f t="shared" si="37"/>
        <v>0</v>
      </c>
      <c r="AG250" s="193">
        <f t="shared" si="37"/>
        <v>0</v>
      </c>
    </row>
    <row r="251" spans="2:33" ht="12.75" customHeight="1" thickBot="1" x14ac:dyDescent="0.25"/>
    <row r="252" spans="2:33" ht="12.75" customHeight="1" thickBot="1" x14ac:dyDescent="0.25">
      <c r="B252" s="20" t="s">
        <v>9</v>
      </c>
      <c r="D252" s="277" t="str">
        <f>"SUBSUMMARY SHEET " &amp; B253</f>
        <v>SUBSUMMARY SHEET 4</v>
      </c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277"/>
      <c r="T252" s="277"/>
      <c r="U252" s="277"/>
      <c r="V252" s="277"/>
      <c r="W252" s="277"/>
      <c r="X252" s="277"/>
      <c r="Y252" s="277"/>
      <c r="Z252" s="277"/>
      <c r="AA252" s="277"/>
      <c r="AB252" s="277"/>
      <c r="AC252" s="277"/>
      <c r="AD252" s="277"/>
      <c r="AE252" s="277"/>
      <c r="AF252" s="194"/>
      <c r="AG252" s="194"/>
    </row>
    <row r="253" spans="2:33" ht="12.75" customHeight="1" thickBot="1" x14ac:dyDescent="0.25">
      <c r="B253" s="24">
        <v>4</v>
      </c>
      <c r="D253" s="279" t="s">
        <v>7</v>
      </c>
      <c r="E253" s="279"/>
      <c r="F253" s="279"/>
      <c r="G253" s="279"/>
      <c r="H253" s="279"/>
      <c r="I253" s="209"/>
      <c r="J253" s="209"/>
      <c r="K253" s="183" t="s">
        <v>26</v>
      </c>
      <c r="L253" s="183" t="s">
        <v>27</v>
      </c>
      <c r="M253" s="183" t="s">
        <v>693</v>
      </c>
      <c r="N253" s="183" t="s">
        <v>694</v>
      </c>
      <c r="O253" s="183" t="s">
        <v>40</v>
      </c>
      <c r="P253" s="183" t="s">
        <v>42</v>
      </c>
      <c r="Q253" s="183" t="s">
        <v>44</v>
      </c>
      <c r="R253" s="183" t="s">
        <v>705</v>
      </c>
      <c r="S253" s="183" t="s">
        <v>47</v>
      </c>
      <c r="T253" s="183" t="s">
        <v>49</v>
      </c>
      <c r="U253" s="183" t="s">
        <v>52</v>
      </c>
      <c r="V253" s="183" t="s">
        <v>53</v>
      </c>
      <c r="W253" s="183" t="s">
        <v>55</v>
      </c>
      <c r="X253" s="183" t="s">
        <v>57</v>
      </c>
      <c r="Y253" s="183" t="s">
        <v>63</v>
      </c>
      <c r="Z253" s="183" t="s">
        <v>65</v>
      </c>
      <c r="AA253" s="183" t="s">
        <v>707</v>
      </c>
      <c r="AB253" s="183" t="s">
        <v>709</v>
      </c>
      <c r="AC253" s="183" t="s">
        <v>70</v>
      </c>
      <c r="AD253" s="183" t="s">
        <v>71</v>
      </c>
      <c r="AE253" s="183" t="s">
        <v>72</v>
      </c>
      <c r="AF253" s="183" t="s">
        <v>73</v>
      </c>
      <c r="AG253" s="183" t="s">
        <v>688</v>
      </c>
    </row>
    <row r="254" spans="2:33" ht="12.75" customHeight="1" thickBot="1" x14ac:dyDescent="0.25">
      <c r="D254" s="280" t="s">
        <v>8</v>
      </c>
      <c r="E254" s="280"/>
      <c r="F254" s="280"/>
      <c r="G254" s="280"/>
      <c r="H254" s="280"/>
      <c r="I254" s="210"/>
      <c r="J254" s="210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/>
    </row>
    <row r="255" spans="2:33" ht="12.75" customHeight="1" x14ac:dyDescent="0.2">
      <c r="B255" s="250" t="s">
        <v>10</v>
      </c>
      <c r="D255" s="253" t="s">
        <v>20</v>
      </c>
      <c r="E255" s="253" t="s">
        <v>21</v>
      </c>
      <c r="F255" s="256" t="s">
        <v>0</v>
      </c>
      <c r="G255" s="257"/>
      <c r="H255" s="257"/>
      <c r="I255" s="262" t="s">
        <v>23</v>
      </c>
      <c r="J255" s="274" t="s">
        <v>704</v>
      </c>
      <c r="K255" s="161" t="str">
        <f>IF(OR(TRIM(K253)=0,TRIM(K253)=""),"",IF(IFERROR(TRIM(INDEX(QryItemNamed,MATCH(TRIM(K253),ITEM,0),2)),"")="Y","SPECIAL",LEFT(IFERROR(TRIM(INDEX(ITEM,MATCH(TRIM(K253),ITEM,0))),""),3)))</f>
        <v>621</v>
      </c>
      <c r="L255" s="161" t="str">
        <f>IF(OR(TRIM(L253)=0,TRIM(L253)=""),"",IF(IFERROR(TRIM(INDEX(QryItemNamed,MATCH(TRIM(L253),ITEM,0),2)),"")="Y","SPECIAL",LEFT(IFERROR(TRIM(INDEX(ITEM,MATCH(TRIM(L253),ITEM,0))),""),3)))</f>
        <v>621</v>
      </c>
      <c r="M255" s="145">
        <v>642</v>
      </c>
      <c r="N255" s="145">
        <v>642</v>
      </c>
      <c r="O255" s="145">
        <v>644</v>
      </c>
      <c r="P255" s="145">
        <v>644</v>
      </c>
      <c r="Q255" s="145">
        <v>644</v>
      </c>
      <c r="R255" s="145">
        <v>644</v>
      </c>
      <c r="S255" s="145">
        <v>644</v>
      </c>
      <c r="T255" s="145" t="s">
        <v>124</v>
      </c>
      <c r="U255" s="145">
        <v>644</v>
      </c>
      <c r="V255" s="145">
        <v>644</v>
      </c>
      <c r="W255" s="145">
        <v>644</v>
      </c>
      <c r="X255" s="145">
        <v>644</v>
      </c>
      <c r="Y255" s="145">
        <v>644</v>
      </c>
      <c r="Z255" s="145">
        <v>644</v>
      </c>
      <c r="AA255" s="145">
        <v>646</v>
      </c>
      <c r="AB255" s="145">
        <v>646</v>
      </c>
      <c r="AC255" s="145" t="s">
        <v>124</v>
      </c>
      <c r="AD255" s="145" t="s">
        <v>675</v>
      </c>
      <c r="AE255" s="145" t="s">
        <v>675</v>
      </c>
      <c r="AF255" s="145" t="s">
        <v>675</v>
      </c>
      <c r="AG255" s="145">
        <v>874</v>
      </c>
    </row>
    <row r="256" spans="2:33" ht="12.75" customHeight="1" x14ac:dyDescent="0.2">
      <c r="B256" s="251"/>
      <c r="D256" s="254"/>
      <c r="E256" s="254"/>
      <c r="F256" s="258"/>
      <c r="G256" s="259"/>
      <c r="H256" s="259"/>
      <c r="I256" s="263"/>
      <c r="J256" s="275"/>
      <c r="K256" s="265" t="str">
        <f>IF(OR(TRIM(K253)=0,TRIM(K253)=""),IF(K254="","",K254),IF(IFERROR(TRIM(INDEX(QryItemNamed,MATCH(TRIM(K253),ITEM,0),2)),"")="Y",TRIM(RIGHT(IFERROR(TRIM(INDEX(QryItemNamed,MATCH(TRIM(K253),ITEM,0),4)),"123456789012"),LEN(IFERROR(TRIM(INDEX(QryItemNamed,MATCH(TRIM(K253),ITEM,0),4)),"123456789012"))-9))&amp;K254,IFERROR(TRIM(INDEX(QryItemNamed,MATCH(TRIM(K253),ITEM,0),4))&amp;K254,"ITEM CODE DOES NOT EXIST IN ITEM MASTER")))</f>
        <v>RPM</v>
      </c>
      <c r="L256" s="265" t="str">
        <f>IF(OR(TRIM(L253)=0,TRIM(L253)=""),IF(L254="","",L254),IF(IFERROR(TRIM(INDEX(QryItemNamed,MATCH(TRIM(L253),ITEM,0),2)),"")="Y",TRIM(RIGHT(IFERROR(TRIM(INDEX(QryItemNamed,MATCH(TRIM(L253),ITEM,0),4)),"123456789012"),LEN(IFERROR(TRIM(INDEX(QryItemNamed,MATCH(TRIM(L253),ITEM,0),4)),"123456789012"))-9))&amp;L254,IFERROR(TRIM(INDEX(QryItemNamed,MATCH(TRIM(L253),ITEM,0),4))&amp;L254,"ITEM CODE DOES NOT EXIST IN ITEM MASTER")))</f>
        <v>RAISED PAVEMENT MARKER REMOVED</v>
      </c>
      <c r="M256" s="278" t="s">
        <v>692</v>
      </c>
      <c r="N256" s="278" t="s">
        <v>695</v>
      </c>
      <c r="O256" s="278" t="s">
        <v>41</v>
      </c>
      <c r="P256" s="278" t="s">
        <v>43</v>
      </c>
      <c r="Q256" s="278" t="s">
        <v>45</v>
      </c>
      <c r="R256" s="278" t="s">
        <v>706</v>
      </c>
      <c r="S256" s="244" t="s">
        <v>48</v>
      </c>
      <c r="T256" s="244" t="s">
        <v>50</v>
      </c>
      <c r="U256" s="244" t="s">
        <v>59</v>
      </c>
      <c r="V256" s="244" t="s">
        <v>54</v>
      </c>
      <c r="W256" s="244" t="s">
        <v>56</v>
      </c>
      <c r="X256" s="268" t="s">
        <v>58</v>
      </c>
      <c r="Y256" s="268" t="s">
        <v>64</v>
      </c>
      <c r="Z256" s="268" t="s">
        <v>66</v>
      </c>
      <c r="AA256" s="244" t="s">
        <v>708</v>
      </c>
      <c r="AB256" s="244" t="s">
        <v>32</v>
      </c>
      <c r="AC256" s="244" t="s">
        <v>74</v>
      </c>
      <c r="AD256" s="244" t="s">
        <v>672</v>
      </c>
      <c r="AE256" s="244" t="s">
        <v>671</v>
      </c>
      <c r="AF256" s="244" t="s">
        <v>670</v>
      </c>
      <c r="AG256" s="244" t="s">
        <v>689</v>
      </c>
    </row>
    <row r="257" spans="2:33" ht="12.75" customHeight="1" x14ac:dyDescent="0.2">
      <c r="B257" s="251"/>
      <c r="D257" s="254"/>
      <c r="E257" s="254"/>
      <c r="F257" s="258"/>
      <c r="G257" s="259"/>
      <c r="H257" s="259"/>
      <c r="I257" s="263"/>
      <c r="J257" s="275"/>
      <c r="K257" s="266"/>
      <c r="L257" s="266"/>
      <c r="M257" s="278"/>
      <c r="N257" s="278"/>
      <c r="O257" s="278"/>
      <c r="P257" s="278"/>
      <c r="Q257" s="278"/>
      <c r="R257" s="278"/>
      <c r="S257" s="245"/>
      <c r="T257" s="245"/>
      <c r="U257" s="245"/>
      <c r="V257" s="245"/>
      <c r="W257" s="245"/>
      <c r="X257" s="269"/>
      <c r="Y257" s="269"/>
      <c r="Z257" s="269"/>
      <c r="AA257" s="245"/>
      <c r="AB257" s="245"/>
      <c r="AC257" s="245"/>
      <c r="AD257" s="245"/>
      <c r="AE257" s="245"/>
      <c r="AF257" s="245"/>
      <c r="AG257" s="245"/>
    </row>
    <row r="258" spans="2:33" ht="12.75" customHeight="1" x14ac:dyDescent="0.2">
      <c r="B258" s="251"/>
      <c r="D258" s="254"/>
      <c r="E258" s="254"/>
      <c r="F258" s="258"/>
      <c r="G258" s="259"/>
      <c r="H258" s="259"/>
      <c r="I258" s="263"/>
      <c r="J258" s="275"/>
      <c r="K258" s="266"/>
      <c r="L258" s="266"/>
      <c r="M258" s="278"/>
      <c r="N258" s="278"/>
      <c r="O258" s="278"/>
      <c r="P258" s="278"/>
      <c r="Q258" s="278"/>
      <c r="R258" s="278"/>
      <c r="S258" s="245"/>
      <c r="T258" s="245"/>
      <c r="U258" s="245"/>
      <c r="V258" s="245"/>
      <c r="W258" s="245"/>
      <c r="X258" s="269"/>
      <c r="Y258" s="269"/>
      <c r="Z258" s="269"/>
      <c r="AA258" s="245"/>
      <c r="AB258" s="245"/>
      <c r="AC258" s="245"/>
      <c r="AD258" s="245"/>
      <c r="AE258" s="245"/>
      <c r="AF258" s="245"/>
      <c r="AG258" s="245"/>
    </row>
    <row r="259" spans="2:33" ht="12.75" customHeight="1" x14ac:dyDescent="0.2">
      <c r="B259" s="251"/>
      <c r="D259" s="254"/>
      <c r="E259" s="254"/>
      <c r="F259" s="258"/>
      <c r="G259" s="259"/>
      <c r="H259" s="259"/>
      <c r="I259" s="263"/>
      <c r="J259" s="275"/>
      <c r="K259" s="266"/>
      <c r="L259" s="266"/>
      <c r="M259" s="278"/>
      <c r="N259" s="278"/>
      <c r="O259" s="278"/>
      <c r="P259" s="278"/>
      <c r="Q259" s="278"/>
      <c r="R259" s="278"/>
      <c r="S259" s="245"/>
      <c r="T259" s="245"/>
      <c r="U259" s="245"/>
      <c r="V259" s="245"/>
      <c r="W259" s="245"/>
      <c r="X259" s="269"/>
      <c r="Y259" s="269"/>
      <c r="Z259" s="269"/>
      <c r="AA259" s="245"/>
      <c r="AB259" s="245"/>
      <c r="AC259" s="245"/>
      <c r="AD259" s="245"/>
      <c r="AE259" s="245"/>
      <c r="AF259" s="245"/>
      <c r="AG259" s="245"/>
    </row>
    <row r="260" spans="2:33" ht="12.75" customHeight="1" x14ac:dyDescent="0.2">
      <c r="B260" s="251"/>
      <c r="D260" s="254"/>
      <c r="E260" s="254"/>
      <c r="F260" s="258"/>
      <c r="G260" s="259"/>
      <c r="H260" s="259"/>
      <c r="I260" s="263"/>
      <c r="J260" s="275"/>
      <c r="K260" s="266"/>
      <c r="L260" s="266"/>
      <c r="M260" s="278"/>
      <c r="N260" s="278"/>
      <c r="O260" s="278"/>
      <c r="P260" s="278"/>
      <c r="Q260" s="278"/>
      <c r="R260" s="278"/>
      <c r="S260" s="245"/>
      <c r="T260" s="245"/>
      <c r="U260" s="245"/>
      <c r="V260" s="245"/>
      <c r="W260" s="245"/>
      <c r="X260" s="269"/>
      <c r="Y260" s="269"/>
      <c r="Z260" s="269"/>
      <c r="AA260" s="245"/>
      <c r="AB260" s="245"/>
      <c r="AC260" s="245"/>
      <c r="AD260" s="245"/>
      <c r="AE260" s="245"/>
      <c r="AF260" s="245"/>
      <c r="AG260" s="245"/>
    </row>
    <row r="261" spans="2:33" ht="12.75" customHeight="1" x14ac:dyDescent="0.2">
      <c r="B261" s="251"/>
      <c r="D261" s="254"/>
      <c r="E261" s="254"/>
      <c r="F261" s="258"/>
      <c r="G261" s="259"/>
      <c r="H261" s="259"/>
      <c r="I261" s="263"/>
      <c r="J261" s="275"/>
      <c r="K261" s="266"/>
      <c r="L261" s="266"/>
      <c r="M261" s="278"/>
      <c r="N261" s="278"/>
      <c r="O261" s="278"/>
      <c r="P261" s="278"/>
      <c r="Q261" s="278"/>
      <c r="R261" s="278"/>
      <c r="S261" s="245"/>
      <c r="T261" s="245"/>
      <c r="U261" s="245"/>
      <c r="V261" s="245"/>
      <c r="W261" s="245"/>
      <c r="X261" s="269"/>
      <c r="Y261" s="269"/>
      <c r="Z261" s="269"/>
      <c r="AA261" s="245"/>
      <c r="AB261" s="245"/>
      <c r="AC261" s="245"/>
      <c r="AD261" s="245"/>
      <c r="AE261" s="245"/>
      <c r="AF261" s="245"/>
      <c r="AG261" s="245"/>
    </row>
    <row r="262" spans="2:33" ht="12.75" customHeight="1" x14ac:dyDescent="0.2">
      <c r="B262" s="251"/>
      <c r="D262" s="254"/>
      <c r="E262" s="254"/>
      <c r="F262" s="258"/>
      <c r="G262" s="259"/>
      <c r="H262" s="259"/>
      <c r="I262" s="263"/>
      <c r="J262" s="275"/>
      <c r="K262" s="266"/>
      <c r="L262" s="266"/>
      <c r="M262" s="278"/>
      <c r="N262" s="278"/>
      <c r="O262" s="278"/>
      <c r="P262" s="278"/>
      <c r="Q262" s="278"/>
      <c r="R262" s="278"/>
      <c r="S262" s="245"/>
      <c r="T262" s="245"/>
      <c r="U262" s="245"/>
      <c r="V262" s="245"/>
      <c r="W262" s="245"/>
      <c r="X262" s="269"/>
      <c r="Y262" s="269"/>
      <c r="Z262" s="269"/>
      <c r="AA262" s="245"/>
      <c r="AB262" s="245"/>
      <c r="AC262" s="245"/>
      <c r="AD262" s="245"/>
      <c r="AE262" s="245"/>
      <c r="AF262" s="245"/>
      <c r="AG262" s="245"/>
    </row>
    <row r="263" spans="2:33" ht="12.75" customHeight="1" x14ac:dyDescent="0.2">
      <c r="B263" s="251"/>
      <c r="D263" s="254"/>
      <c r="E263" s="254"/>
      <c r="F263" s="258"/>
      <c r="G263" s="259"/>
      <c r="H263" s="259"/>
      <c r="I263" s="263"/>
      <c r="J263" s="275"/>
      <c r="K263" s="266"/>
      <c r="L263" s="266"/>
      <c r="M263" s="278"/>
      <c r="N263" s="278"/>
      <c r="O263" s="278"/>
      <c r="P263" s="278"/>
      <c r="Q263" s="278"/>
      <c r="R263" s="278"/>
      <c r="S263" s="245"/>
      <c r="T263" s="245"/>
      <c r="U263" s="245"/>
      <c r="V263" s="245"/>
      <c r="W263" s="245"/>
      <c r="X263" s="269"/>
      <c r="Y263" s="269"/>
      <c r="Z263" s="269"/>
      <c r="AA263" s="245"/>
      <c r="AB263" s="245"/>
      <c r="AC263" s="245"/>
      <c r="AD263" s="245"/>
      <c r="AE263" s="245"/>
      <c r="AF263" s="245"/>
      <c r="AG263" s="245"/>
    </row>
    <row r="264" spans="2:33" ht="12.75" customHeight="1" x14ac:dyDescent="0.2">
      <c r="B264" s="251"/>
      <c r="D264" s="254"/>
      <c r="E264" s="254"/>
      <c r="F264" s="258"/>
      <c r="G264" s="259"/>
      <c r="H264" s="259"/>
      <c r="I264" s="263"/>
      <c r="J264" s="275"/>
      <c r="K264" s="266"/>
      <c r="L264" s="266"/>
      <c r="M264" s="278"/>
      <c r="N264" s="278"/>
      <c r="O264" s="278"/>
      <c r="P264" s="278"/>
      <c r="Q264" s="278"/>
      <c r="R264" s="278"/>
      <c r="S264" s="245"/>
      <c r="T264" s="245"/>
      <c r="U264" s="245"/>
      <c r="V264" s="245"/>
      <c r="W264" s="245"/>
      <c r="X264" s="269"/>
      <c r="Y264" s="269"/>
      <c r="Z264" s="269"/>
      <c r="AA264" s="245"/>
      <c r="AB264" s="245"/>
      <c r="AC264" s="245"/>
      <c r="AD264" s="245"/>
      <c r="AE264" s="245"/>
      <c r="AF264" s="245"/>
      <c r="AG264" s="245"/>
    </row>
    <row r="265" spans="2:33" ht="12.75" customHeight="1" x14ac:dyDescent="0.2">
      <c r="B265" s="251"/>
      <c r="D265" s="254"/>
      <c r="E265" s="254"/>
      <c r="F265" s="258"/>
      <c r="G265" s="259"/>
      <c r="H265" s="259"/>
      <c r="I265" s="263"/>
      <c r="J265" s="275"/>
      <c r="K265" s="266"/>
      <c r="L265" s="266"/>
      <c r="M265" s="278"/>
      <c r="N265" s="278"/>
      <c r="O265" s="278"/>
      <c r="P265" s="278"/>
      <c r="Q265" s="278"/>
      <c r="R265" s="278"/>
      <c r="S265" s="245"/>
      <c r="T265" s="245"/>
      <c r="U265" s="245"/>
      <c r="V265" s="245"/>
      <c r="W265" s="245"/>
      <c r="X265" s="269"/>
      <c r="Y265" s="269"/>
      <c r="Z265" s="269"/>
      <c r="AA265" s="245"/>
      <c r="AB265" s="245"/>
      <c r="AC265" s="245"/>
      <c r="AD265" s="245"/>
      <c r="AE265" s="245"/>
      <c r="AF265" s="245"/>
      <c r="AG265" s="245"/>
    </row>
    <row r="266" spans="2:33" ht="12.75" customHeight="1" x14ac:dyDescent="0.2">
      <c r="B266" s="251"/>
      <c r="D266" s="254"/>
      <c r="E266" s="254"/>
      <c r="F266" s="258"/>
      <c r="G266" s="259"/>
      <c r="H266" s="259"/>
      <c r="I266" s="263"/>
      <c r="J266" s="275"/>
      <c r="K266" s="266"/>
      <c r="L266" s="266"/>
      <c r="M266" s="278"/>
      <c r="N266" s="278"/>
      <c r="O266" s="278"/>
      <c r="P266" s="278"/>
      <c r="Q266" s="278"/>
      <c r="R266" s="278"/>
      <c r="S266" s="245"/>
      <c r="T266" s="245"/>
      <c r="U266" s="245"/>
      <c r="V266" s="245"/>
      <c r="W266" s="245"/>
      <c r="X266" s="269"/>
      <c r="Y266" s="269"/>
      <c r="Z266" s="269"/>
      <c r="AA266" s="245"/>
      <c r="AB266" s="245"/>
      <c r="AC266" s="245"/>
      <c r="AD266" s="245"/>
      <c r="AE266" s="245"/>
      <c r="AF266" s="245"/>
      <c r="AG266" s="245"/>
    </row>
    <row r="267" spans="2:33" ht="12.75" customHeight="1" x14ac:dyDescent="0.2">
      <c r="B267" s="251"/>
      <c r="D267" s="254"/>
      <c r="E267" s="254"/>
      <c r="F267" s="258"/>
      <c r="G267" s="259"/>
      <c r="H267" s="259"/>
      <c r="I267" s="263"/>
      <c r="J267" s="275"/>
      <c r="K267" s="267"/>
      <c r="L267" s="267"/>
      <c r="M267" s="278"/>
      <c r="N267" s="278"/>
      <c r="O267" s="278"/>
      <c r="P267" s="278"/>
      <c r="Q267" s="278"/>
      <c r="R267" s="278"/>
      <c r="S267" s="246"/>
      <c r="T267" s="246"/>
      <c r="U267" s="246"/>
      <c r="V267" s="246"/>
      <c r="W267" s="246"/>
      <c r="X267" s="270"/>
      <c r="Y267" s="270"/>
      <c r="Z267" s="270"/>
      <c r="AA267" s="246"/>
      <c r="AB267" s="246"/>
      <c r="AC267" s="246"/>
      <c r="AD267" s="246"/>
      <c r="AE267" s="246"/>
      <c r="AF267" s="246"/>
      <c r="AG267" s="246"/>
    </row>
    <row r="268" spans="2:33" ht="12.75" customHeight="1" thickBot="1" x14ac:dyDescent="0.25">
      <c r="B268" s="252"/>
      <c r="D268" s="255"/>
      <c r="E268" s="255"/>
      <c r="F268" s="260"/>
      <c r="G268" s="261"/>
      <c r="H268" s="261"/>
      <c r="I268" s="264"/>
      <c r="J268" s="276"/>
      <c r="K268" s="138" t="str">
        <f t="shared" ref="K268:O268" si="38">IF(OR(TRIM(K253)=0,TRIM(K253)=""),"",IFERROR(TRIM(INDEX(QryItemNamed,MATCH(TRIM(K253),ITEM,0),3)),""))</f>
        <v>EACH</v>
      </c>
      <c r="L268" s="102" t="str">
        <f t="shared" si="38"/>
        <v>EACH</v>
      </c>
      <c r="M268" s="102" t="str">
        <f t="shared" si="38"/>
        <v>MILE</v>
      </c>
      <c r="N268" s="102" t="str">
        <f t="shared" si="38"/>
        <v>MILE</v>
      </c>
      <c r="O268" s="102" t="str">
        <f t="shared" si="38"/>
        <v>FT</v>
      </c>
      <c r="P268" s="102" t="s">
        <v>46</v>
      </c>
      <c r="Q268" s="102" t="s">
        <v>46</v>
      </c>
      <c r="R268" s="102" t="s">
        <v>46</v>
      </c>
      <c r="S268" s="102" t="s">
        <v>46</v>
      </c>
      <c r="T268" s="102" t="s">
        <v>51</v>
      </c>
      <c r="U268" s="102" t="s">
        <v>51</v>
      </c>
      <c r="V268" s="102" t="s">
        <v>51</v>
      </c>
      <c r="W268" s="102" t="s">
        <v>46</v>
      </c>
      <c r="X268" s="102" t="s">
        <v>46</v>
      </c>
      <c r="Y268" s="102" t="s">
        <v>46</v>
      </c>
      <c r="Z268" s="102" t="s">
        <v>51</v>
      </c>
      <c r="AA268" s="102" t="s">
        <v>673</v>
      </c>
      <c r="AB268" s="102" t="s">
        <v>673</v>
      </c>
      <c r="AC268" s="102" t="s">
        <v>673</v>
      </c>
      <c r="AD268" s="102" t="s">
        <v>673</v>
      </c>
      <c r="AE268" s="102" t="s">
        <v>673</v>
      </c>
      <c r="AF268" s="102" t="s">
        <v>673</v>
      </c>
      <c r="AG268" s="102" t="s">
        <v>673</v>
      </c>
    </row>
    <row r="269" spans="2:33" ht="12.75" customHeight="1" x14ac:dyDescent="0.2">
      <c r="B269" s="22">
        <v>1</v>
      </c>
      <c r="C269" s="5">
        <f>902+18</f>
        <v>920</v>
      </c>
      <c r="D269" s="114" t="s">
        <v>239</v>
      </c>
      <c r="E269" s="114" t="s">
        <v>742</v>
      </c>
      <c r="F269" s="147">
        <v>68650</v>
      </c>
      <c r="G269" s="114"/>
      <c r="H269" s="147">
        <v>69150</v>
      </c>
      <c r="I269" s="217" t="s">
        <v>25</v>
      </c>
      <c r="J269" s="212">
        <v>1</v>
      </c>
      <c r="K269" s="139"/>
      <c r="L269" s="114"/>
      <c r="M269" s="140">
        <f>(H269-F269)/5280</f>
        <v>9.4696969696969696E-2</v>
      </c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</row>
    <row r="270" spans="2:33" ht="12.75" customHeight="1" x14ac:dyDescent="0.2">
      <c r="B270" s="22">
        <v>1</v>
      </c>
      <c r="D270" s="114" t="s">
        <v>240</v>
      </c>
      <c r="E270" s="114" t="s">
        <v>742</v>
      </c>
      <c r="F270" s="147">
        <v>68650</v>
      </c>
      <c r="G270" s="114"/>
      <c r="H270" s="147">
        <v>69150</v>
      </c>
      <c r="I270" s="217" t="s">
        <v>24</v>
      </c>
      <c r="J270" s="212">
        <v>1</v>
      </c>
      <c r="K270" s="139"/>
      <c r="L270" s="114"/>
      <c r="M270" s="140">
        <f>(H270-F270)/5280</f>
        <v>9.4696969696969696E-2</v>
      </c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</row>
    <row r="271" spans="2:33" ht="12.75" customHeight="1" x14ac:dyDescent="0.2">
      <c r="B271" s="22">
        <v>1</v>
      </c>
      <c r="D271" s="114" t="s">
        <v>241</v>
      </c>
      <c r="E271" s="114" t="s">
        <v>742</v>
      </c>
      <c r="F271" s="147">
        <v>68650</v>
      </c>
      <c r="G271" s="114"/>
      <c r="H271" s="147">
        <v>68723</v>
      </c>
      <c r="I271" s="217" t="s">
        <v>25</v>
      </c>
      <c r="J271" s="212">
        <v>1</v>
      </c>
      <c r="K271" s="139"/>
      <c r="L271" s="114"/>
      <c r="M271" s="140">
        <f>(H271-F271)/5280</f>
        <v>1.3825757575757576E-2</v>
      </c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</row>
    <row r="272" spans="2:33" ht="12.75" customHeight="1" x14ac:dyDescent="0.2">
      <c r="B272" s="22">
        <v>1</v>
      </c>
      <c r="D272" s="114" t="s">
        <v>608</v>
      </c>
      <c r="E272" s="114" t="s">
        <v>742</v>
      </c>
      <c r="F272" s="147">
        <v>68650</v>
      </c>
      <c r="G272" s="114"/>
      <c r="H272" s="147">
        <v>68723</v>
      </c>
      <c r="I272" s="217" t="s">
        <v>25</v>
      </c>
      <c r="J272" s="212">
        <v>1</v>
      </c>
      <c r="K272" s="141">
        <f>ROUNDUP((H272-F272)/40,0)</f>
        <v>2</v>
      </c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</row>
    <row r="273" spans="2:33" ht="12.75" customHeight="1" x14ac:dyDescent="0.2">
      <c r="B273" s="22">
        <v>1</v>
      </c>
      <c r="D273" s="114" t="s">
        <v>242</v>
      </c>
      <c r="E273" s="114" t="s">
        <v>742</v>
      </c>
      <c r="F273" s="147">
        <v>68650</v>
      </c>
      <c r="G273" s="114"/>
      <c r="H273" s="147">
        <v>68723</v>
      </c>
      <c r="I273" s="217" t="s">
        <v>24</v>
      </c>
      <c r="J273" s="212">
        <v>1</v>
      </c>
      <c r="K273" s="139"/>
      <c r="L273" s="114"/>
      <c r="M273" s="140">
        <f>(H273-F273)/5280</f>
        <v>1.3825757575757576E-2</v>
      </c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</row>
    <row r="274" spans="2:33" ht="12.75" customHeight="1" x14ac:dyDescent="0.2">
      <c r="B274" s="22">
        <v>1</v>
      </c>
      <c r="D274" s="114" t="s">
        <v>609</v>
      </c>
      <c r="E274" s="114" t="s">
        <v>742</v>
      </c>
      <c r="F274" s="147">
        <v>68650</v>
      </c>
      <c r="G274" s="114"/>
      <c r="H274" s="147">
        <v>68723</v>
      </c>
      <c r="I274" s="217" t="s">
        <v>24</v>
      </c>
      <c r="J274" s="212">
        <v>1</v>
      </c>
      <c r="K274" s="141">
        <f>ROUNDUP((H274-F274)/40,0)</f>
        <v>2</v>
      </c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</row>
    <row r="275" spans="2:33" ht="12.75" customHeight="1" x14ac:dyDescent="0.2">
      <c r="B275" s="22">
        <v>1</v>
      </c>
      <c r="D275" s="114" t="s">
        <v>243</v>
      </c>
      <c r="E275" s="114" t="s">
        <v>742</v>
      </c>
      <c r="F275" s="147">
        <v>68723</v>
      </c>
      <c r="G275" s="114"/>
      <c r="H275" s="147">
        <v>69150</v>
      </c>
      <c r="I275" s="217" t="s">
        <v>25</v>
      </c>
      <c r="J275" s="212">
        <v>1</v>
      </c>
      <c r="K275" s="139"/>
      <c r="L275" s="114"/>
      <c r="M275" s="114"/>
      <c r="N275" s="140">
        <f>(H275-F275)/5280</f>
        <v>8.0871212121212122E-2</v>
      </c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</row>
    <row r="276" spans="2:33" ht="12.75" customHeight="1" x14ac:dyDescent="0.2">
      <c r="B276" s="22">
        <v>1</v>
      </c>
      <c r="D276" s="114" t="s">
        <v>610</v>
      </c>
      <c r="E276" s="114" t="s">
        <v>742</v>
      </c>
      <c r="F276" s="147">
        <v>68723</v>
      </c>
      <c r="G276" s="114"/>
      <c r="H276" s="147">
        <v>69150</v>
      </c>
      <c r="I276" s="217" t="s">
        <v>25</v>
      </c>
      <c r="J276" s="212">
        <v>1</v>
      </c>
      <c r="K276" s="141">
        <f>ROUNDUP((H276-F276)/20,0)</f>
        <v>22</v>
      </c>
      <c r="L276" s="114"/>
      <c r="M276" s="114"/>
      <c r="N276" s="140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</row>
    <row r="277" spans="2:33" ht="12.75" customHeight="1" x14ac:dyDescent="0.2">
      <c r="B277" s="22">
        <v>1</v>
      </c>
      <c r="D277" s="114" t="s">
        <v>244</v>
      </c>
      <c r="E277" s="114" t="s">
        <v>742</v>
      </c>
      <c r="F277" s="147">
        <v>68723</v>
      </c>
      <c r="G277" s="114"/>
      <c r="H277" s="147">
        <v>69100</v>
      </c>
      <c r="I277" s="217" t="s">
        <v>24</v>
      </c>
      <c r="J277" s="212">
        <v>1</v>
      </c>
      <c r="K277" s="139"/>
      <c r="L277" s="114"/>
      <c r="M277" s="114"/>
      <c r="N277" s="140">
        <f>(H277-F277)/5280</f>
        <v>7.1401515151515146E-2</v>
      </c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</row>
    <row r="278" spans="2:33" ht="12.75" customHeight="1" x14ac:dyDescent="0.2">
      <c r="B278" s="22">
        <v>1</v>
      </c>
      <c r="D278" s="114" t="s">
        <v>611</v>
      </c>
      <c r="E278" s="114" t="s">
        <v>742</v>
      </c>
      <c r="F278" s="147">
        <v>68723</v>
      </c>
      <c r="G278" s="114"/>
      <c r="H278" s="147">
        <v>69100</v>
      </c>
      <c r="I278" s="217" t="s">
        <v>24</v>
      </c>
      <c r="J278" s="212">
        <v>1</v>
      </c>
      <c r="K278" s="141">
        <f>ROUNDUP((H278-F278)/20,0)</f>
        <v>19</v>
      </c>
      <c r="L278" s="114"/>
      <c r="M278" s="114"/>
      <c r="N278" s="140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</row>
    <row r="279" spans="2:33" ht="12.75" customHeight="1" x14ac:dyDescent="0.2">
      <c r="B279" s="22">
        <v>1</v>
      </c>
      <c r="D279" s="114" t="s">
        <v>245</v>
      </c>
      <c r="E279" s="114" t="s">
        <v>742</v>
      </c>
      <c r="F279" s="147">
        <v>68723</v>
      </c>
      <c r="G279" s="114"/>
      <c r="H279" s="147">
        <v>69100</v>
      </c>
      <c r="I279" s="217" t="s">
        <v>35</v>
      </c>
      <c r="J279" s="212">
        <v>1</v>
      </c>
      <c r="K279" s="139"/>
      <c r="L279" s="114"/>
      <c r="M279" s="114"/>
      <c r="N279" s="114"/>
      <c r="O279" s="114"/>
      <c r="P279" s="114"/>
      <c r="Q279" s="114"/>
      <c r="R279" s="114"/>
      <c r="S279" s="114">
        <f>15.5+15.5+15+14+13+12+10+7.5+5.5+4.5+3+3+2+1.5</f>
        <v>122</v>
      </c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</row>
    <row r="280" spans="2:33" ht="12.75" customHeight="1" x14ac:dyDescent="0.2">
      <c r="B280" s="22"/>
      <c r="D280" s="114"/>
      <c r="E280" s="114"/>
      <c r="F280" s="147"/>
      <c r="G280" s="114"/>
      <c r="H280" s="147"/>
      <c r="I280" s="217"/>
      <c r="J280" s="212"/>
      <c r="K280" s="139"/>
      <c r="L280" s="114"/>
      <c r="M280" s="140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</row>
    <row r="281" spans="2:33" ht="12.75" customHeight="1" x14ac:dyDescent="0.2">
      <c r="B281" s="22">
        <v>1</v>
      </c>
      <c r="D281" s="114" t="s">
        <v>246</v>
      </c>
      <c r="E281" s="114" t="s">
        <v>743</v>
      </c>
      <c r="F281" s="147">
        <v>69150</v>
      </c>
      <c r="G281" s="114"/>
      <c r="H281" s="147">
        <v>69250</v>
      </c>
      <c r="I281" s="217" t="s">
        <v>25</v>
      </c>
      <c r="J281" s="212">
        <v>1</v>
      </c>
      <c r="K281" s="139"/>
      <c r="L281" s="114"/>
      <c r="M281" s="140">
        <f>(H281-F281)/5280</f>
        <v>1.893939393939394E-2</v>
      </c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</row>
    <row r="282" spans="2:33" ht="12.75" customHeight="1" x14ac:dyDescent="0.2">
      <c r="B282" s="22">
        <v>1</v>
      </c>
      <c r="D282" s="114" t="s">
        <v>247</v>
      </c>
      <c r="E282" s="114" t="s">
        <v>743</v>
      </c>
      <c r="F282" s="147">
        <v>69150</v>
      </c>
      <c r="G282" s="114"/>
      <c r="H282" s="147">
        <v>69250</v>
      </c>
      <c r="I282" s="217" t="s">
        <v>24</v>
      </c>
      <c r="J282" s="212">
        <v>1</v>
      </c>
      <c r="K282" s="139"/>
      <c r="L282" s="114"/>
      <c r="M282" s="140">
        <f>(H282-F282)/5280</f>
        <v>1.893939393939394E-2</v>
      </c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</row>
    <row r="283" spans="2:33" ht="12.75" customHeight="1" x14ac:dyDescent="0.2">
      <c r="B283" s="22">
        <v>1</v>
      </c>
      <c r="D283" s="114" t="s">
        <v>248</v>
      </c>
      <c r="E283" s="114" t="s">
        <v>743</v>
      </c>
      <c r="F283" s="147">
        <v>69150</v>
      </c>
      <c r="G283" s="114"/>
      <c r="H283" s="147">
        <v>69250</v>
      </c>
      <c r="I283" s="217" t="s">
        <v>25</v>
      </c>
      <c r="J283" s="212">
        <v>1</v>
      </c>
      <c r="K283" s="139"/>
      <c r="L283" s="114"/>
      <c r="M283" s="114"/>
      <c r="N283" s="140">
        <f>(H283-F283)/5280</f>
        <v>1.893939393939394E-2</v>
      </c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</row>
    <row r="284" spans="2:33" ht="12.75" customHeight="1" x14ac:dyDescent="0.2">
      <c r="B284" s="22">
        <v>1</v>
      </c>
      <c r="D284" s="114" t="s">
        <v>612</v>
      </c>
      <c r="E284" s="114" t="s">
        <v>743</v>
      </c>
      <c r="F284" s="147">
        <v>69150</v>
      </c>
      <c r="G284" s="114"/>
      <c r="H284" s="147">
        <v>69250</v>
      </c>
      <c r="I284" s="217" t="s">
        <v>25</v>
      </c>
      <c r="J284" s="212">
        <v>1</v>
      </c>
      <c r="K284" s="141">
        <f>ROUNDUP((H284-F284)/80,0)</f>
        <v>2</v>
      </c>
      <c r="L284" s="114"/>
      <c r="M284" s="114"/>
      <c r="N284" s="140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</row>
    <row r="285" spans="2:33" ht="12.75" customHeight="1" x14ac:dyDescent="0.2">
      <c r="B285" s="22"/>
      <c r="D285" s="114"/>
      <c r="E285" s="114"/>
      <c r="F285" s="147"/>
      <c r="G285" s="114"/>
      <c r="H285" s="147"/>
      <c r="I285" s="217"/>
      <c r="J285" s="212"/>
      <c r="K285" s="139"/>
      <c r="L285" s="114"/>
      <c r="M285" s="140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</row>
    <row r="286" spans="2:33" ht="12.75" customHeight="1" x14ac:dyDescent="0.2">
      <c r="B286" s="22">
        <v>1</v>
      </c>
      <c r="D286" s="114" t="s">
        <v>249</v>
      </c>
      <c r="E286" s="114" t="s">
        <v>744</v>
      </c>
      <c r="F286" s="147">
        <v>69250</v>
      </c>
      <c r="G286" s="114"/>
      <c r="H286" s="147">
        <v>69750</v>
      </c>
      <c r="I286" s="217" t="s">
        <v>25</v>
      </c>
      <c r="J286" s="212">
        <v>4</v>
      </c>
      <c r="K286" s="139"/>
      <c r="L286" s="114"/>
      <c r="M286" s="140">
        <f>(H286-F286)/5280</f>
        <v>9.4696969696969696E-2</v>
      </c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</row>
    <row r="287" spans="2:33" ht="12.75" customHeight="1" x14ac:dyDescent="0.2">
      <c r="B287" s="22">
        <v>1</v>
      </c>
      <c r="D287" s="114" t="s">
        <v>250</v>
      </c>
      <c r="E287" s="114" t="s">
        <v>744</v>
      </c>
      <c r="F287" s="147">
        <v>69250</v>
      </c>
      <c r="G287" s="114"/>
      <c r="H287" s="147">
        <v>69750</v>
      </c>
      <c r="I287" s="217" t="s">
        <v>24</v>
      </c>
      <c r="J287" s="212">
        <v>4</v>
      </c>
      <c r="K287" s="139"/>
      <c r="L287" s="114"/>
      <c r="M287" s="140">
        <f>(H287-F287)/5280</f>
        <v>9.4696969696969696E-2</v>
      </c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</row>
    <row r="288" spans="2:33" ht="12.75" customHeight="1" x14ac:dyDescent="0.2">
      <c r="B288" s="22">
        <v>1</v>
      </c>
      <c r="D288" s="114" t="s">
        <v>251</v>
      </c>
      <c r="E288" s="114" t="s">
        <v>744</v>
      </c>
      <c r="F288" s="147">
        <v>69250</v>
      </c>
      <c r="G288" s="114"/>
      <c r="H288" s="147">
        <v>69750</v>
      </c>
      <c r="I288" s="217" t="s">
        <v>35</v>
      </c>
      <c r="J288" s="212">
        <v>4</v>
      </c>
      <c r="K288" s="139"/>
      <c r="L288" s="114"/>
      <c r="M288" s="114"/>
      <c r="N288" s="140">
        <f>(H288-F288)/5280</f>
        <v>9.4696969696969696E-2</v>
      </c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</row>
    <row r="289" spans="2:33" ht="12.75" customHeight="1" x14ac:dyDescent="0.2">
      <c r="B289" s="22"/>
      <c r="D289" s="114"/>
      <c r="E289" s="114"/>
      <c r="F289" s="147"/>
      <c r="G289" s="114"/>
      <c r="H289" s="147"/>
      <c r="I289" s="217"/>
      <c r="J289" s="212"/>
      <c r="K289" s="139"/>
      <c r="L289" s="114"/>
      <c r="M289" s="114"/>
      <c r="N289" s="140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</row>
    <row r="290" spans="2:33" ht="12.75" customHeight="1" x14ac:dyDescent="0.2">
      <c r="B290" s="22">
        <v>1</v>
      </c>
      <c r="D290" s="114" t="s">
        <v>252</v>
      </c>
      <c r="E290" s="114" t="s">
        <v>745</v>
      </c>
      <c r="F290" s="147">
        <v>69750</v>
      </c>
      <c r="G290" s="114"/>
      <c r="H290" s="147">
        <v>70250</v>
      </c>
      <c r="I290" s="217" t="s">
        <v>25</v>
      </c>
      <c r="J290" s="212">
        <v>4</v>
      </c>
      <c r="K290" s="139"/>
      <c r="L290" s="114"/>
      <c r="M290" s="140">
        <f>(H290-F290)/5280</f>
        <v>9.4696969696969696E-2</v>
      </c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</row>
    <row r="291" spans="2:33" ht="12.75" customHeight="1" x14ac:dyDescent="0.2">
      <c r="B291" s="22">
        <v>1</v>
      </c>
      <c r="D291" s="114" t="s">
        <v>253</v>
      </c>
      <c r="E291" s="114" t="s">
        <v>745</v>
      </c>
      <c r="F291" s="147">
        <v>69750</v>
      </c>
      <c r="G291" s="114"/>
      <c r="H291" s="147">
        <v>70250</v>
      </c>
      <c r="I291" s="217" t="s">
        <v>24</v>
      </c>
      <c r="J291" s="212">
        <v>4</v>
      </c>
      <c r="K291" s="139"/>
      <c r="L291" s="114"/>
      <c r="M291" s="140">
        <f>(H291-F291)/5280</f>
        <v>9.4696969696969696E-2</v>
      </c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</row>
    <row r="292" spans="2:33" ht="12.75" customHeight="1" x14ac:dyDescent="0.2">
      <c r="B292" s="22">
        <v>1</v>
      </c>
      <c r="D292" s="114" t="s">
        <v>254</v>
      </c>
      <c r="E292" s="114" t="s">
        <v>745</v>
      </c>
      <c r="F292" s="147">
        <v>69750</v>
      </c>
      <c r="G292" s="114"/>
      <c r="H292" s="147">
        <v>70250</v>
      </c>
      <c r="I292" s="217" t="s">
        <v>25</v>
      </c>
      <c r="J292" s="212">
        <v>4</v>
      </c>
      <c r="K292" s="139"/>
      <c r="L292" s="114"/>
      <c r="M292" s="114"/>
      <c r="N292" s="140">
        <f>(H292-F292)/5280</f>
        <v>9.4696969696969696E-2</v>
      </c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</row>
    <row r="293" spans="2:33" ht="12.75" customHeight="1" x14ac:dyDescent="0.2">
      <c r="B293" s="22">
        <v>1</v>
      </c>
      <c r="D293" s="114" t="s">
        <v>614</v>
      </c>
      <c r="E293" s="114" t="s">
        <v>745</v>
      </c>
      <c r="F293" s="147">
        <v>69750</v>
      </c>
      <c r="G293" s="114"/>
      <c r="H293" s="147">
        <v>70250</v>
      </c>
      <c r="I293" s="217" t="s">
        <v>25</v>
      </c>
      <c r="J293" s="212">
        <v>4</v>
      </c>
      <c r="K293" s="141">
        <f>ROUNDUP((H293-F293)/80,0)</f>
        <v>7</v>
      </c>
      <c r="L293" s="114"/>
      <c r="M293" s="114"/>
      <c r="N293" s="140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</row>
    <row r="294" spans="2:33" ht="12.75" customHeight="1" x14ac:dyDescent="0.2">
      <c r="B294" s="22">
        <v>1</v>
      </c>
      <c r="D294" s="114" t="s">
        <v>255</v>
      </c>
      <c r="E294" s="114" t="s">
        <v>745</v>
      </c>
      <c r="F294" s="147">
        <v>69894</v>
      </c>
      <c r="G294" s="114"/>
      <c r="H294" s="147">
        <v>70250</v>
      </c>
      <c r="I294" s="217" t="s">
        <v>25</v>
      </c>
      <c r="J294" s="212">
        <v>4</v>
      </c>
      <c r="K294" s="139"/>
      <c r="L294" s="114"/>
      <c r="M294" s="114"/>
      <c r="N294" s="140">
        <f>(H294-F294)/5280</f>
        <v>6.7424242424242428E-2</v>
      </c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</row>
    <row r="295" spans="2:33" ht="12.75" customHeight="1" x14ac:dyDescent="0.2">
      <c r="B295" s="22">
        <v>1</v>
      </c>
      <c r="D295" s="114" t="s">
        <v>615</v>
      </c>
      <c r="E295" s="114" t="s">
        <v>745</v>
      </c>
      <c r="F295" s="147">
        <v>69894</v>
      </c>
      <c r="G295" s="114"/>
      <c r="H295" s="147">
        <v>70250</v>
      </c>
      <c r="I295" s="217" t="s">
        <v>25</v>
      </c>
      <c r="J295" s="212">
        <v>4</v>
      </c>
      <c r="K295" s="141">
        <f>ROUNDUP((H295-F295)/80,0)</f>
        <v>5</v>
      </c>
      <c r="L295" s="114"/>
      <c r="M295" s="114"/>
      <c r="N295" s="140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</row>
    <row r="296" spans="2:33" ht="12.75" customHeight="1" x14ac:dyDescent="0.2">
      <c r="B296" s="22">
        <v>1</v>
      </c>
      <c r="D296" s="114" t="s">
        <v>613</v>
      </c>
      <c r="E296" s="114" t="s">
        <v>745</v>
      </c>
      <c r="F296" s="147">
        <v>69763</v>
      </c>
      <c r="G296" s="114"/>
      <c r="H296" s="147">
        <v>70195</v>
      </c>
      <c r="I296" s="217" t="s">
        <v>25</v>
      </c>
      <c r="J296" s="212">
        <v>4</v>
      </c>
      <c r="K296" s="139"/>
      <c r="L296" s="114"/>
      <c r="M296" s="114"/>
      <c r="N296" s="140"/>
      <c r="O296" s="114"/>
      <c r="P296" s="114"/>
      <c r="Q296" s="114"/>
      <c r="R296" s="114"/>
      <c r="S296" s="114"/>
      <c r="T296" s="114"/>
      <c r="U296" s="114"/>
      <c r="V296" s="114"/>
      <c r="W296" s="110">
        <f>H296-F296</f>
        <v>432</v>
      </c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</row>
    <row r="297" spans="2:33" ht="12.75" customHeight="1" x14ac:dyDescent="0.2">
      <c r="B297" s="22">
        <v>1</v>
      </c>
      <c r="D297" s="114" t="s">
        <v>616</v>
      </c>
      <c r="E297" s="114" t="s">
        <v>745</v>
      </c>
      <c r="F297" s="147">
        <v>69763</v>
      </c>
      <c r="G297" s="114"/>
      <c r="H297" s="147">
        <v>70195</v>
      </c>
      <c r="I297" s="217" t="s">
        <v>25</v>
      </c>
      <c r="J297" s="212">
        <v>4</v>
      </c>
      <c r="K297" s="141">
        <f>ROUNDUP((H297-F297)/80,0)</f>
        <v>6</v>
      </c>
      <c r="L297" s="114"/>
      <c r="M297" s="114"/>
      <c r="N297" s="140"/>
      <c r="O297" s="114"/>
      <c r="P297" s="114"/>
      <c r="Q297" s="114"/>
      <c r="R297" s="114"/>
      <c r="S297" s="114"/>
      <c r="T297" s="114"/>
      <c r="U297" s="114"/>
      <c r="V297" s="114"/>
      <c r="W297" s="110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</row>
    <row r="298" spans="2:33" ht="12.75" customHeight="1" x14ac:dyDescent="0.2">
      <c r="B298" s="22">
        <v>1</v>
      </c>
      <c r="D298" s="114" t="s">
        <v>565</v>
      </c>
      <c r="E298" s="114" t="s">
        <v>745</v>
      </c>
      <c r="F298" s="147">
        <v>70195</v>
      </c>
      <c r="G298" s="114"/>
      <c r="H298" s="147">
        <v>70250</v>
      </c>
      <c r="I298" s="217" t="s">
        <v>25</v>
      </c>
      <c r="J298" s="212">
        <v>4</v>
      </c>
      <c r="K298" s="139"/>
      <c r="L298" s="114"/>
      <c r="M298" s="114"/>
      <c r="N298" s="140"/>
      <c r="O298" s="110">
        <f>H298-F298</f>
        <v>55</v>
      </c>
      <c r="P298" s="114"/>
      <c r="Q298" s="114"/>
      <c r="R298" s="114"/>
      <c r="S298" s="114"/>
      <c r="T298" s="114"/>
      <c r="U298" s="114"/>
      <c r="V298" s="114"/>
      <c r="W298" s="110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</row>
    <row r="299" spans="2:33" ht="12.75" customHeight="1" x14ac:dyDescent="0.2">
      <c r="B299" s="22">
        <v>1</v>
      </c>
      <c r="D299" s="114" t="s">
        <v>617</v>
      </c>
      <c r="E299" s="114" t="s">
        <v>745</v>
      </c>
      <c r="F299" s="147">
        <v>70195</v>
      </c>
      <c r="G299" s="114"/>
      <c r="H299" s="147">
        <v>70250</v>
      </c>
      <c r="I299" s="217" t="s">
        <v>25</v>
      </c>
      <c r="J299" s="212">
        <v>4</v>
      </c>
      <c r="K299" s="141">
        <f>ROUNDUP((H299-F299)/40,0)</f>
        <v>2</v>
      </c>
      <c r="L299" s="114"/>
      <c r="M299" s="114"/>
      <c r="N299" s="140"/>
      <c r="O299" s="110"/>
      <c r="P299" s="114"/>
      <c r="Q299" s="114"/>
      <c r="R299" s="114"/>
      <c r="S299" s="114"/>
      <c r="T299" s="114"/>
      <c r="U299" s="114"/>
      <c r="V299" s="114"/>
      <c r="W299" s="110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</row>
    <row r="300" spans="2:33" ht="12.75" customHeight="1" x14ac:dyDescent="0.2">
      <c r="B300" s="22"/>
      <c r="D300" s="114"/>
      <c r="E300" s="114"/>
      <c r="F300" s="147"/>
      <c r="G300" s="114"/>
      <c r="H300" s="147"/>
      <c r="I300" s="217"/>
      <c r="J300" s="212"/>
      <c r="K300" s="141"/>
      <c r="L300" s="114"/>
      <c r="M300" s="114"/>
      <c r="N300" s="140"/>
      <c r="O300" s="110"/>
      <c r="P300" s="114"/>
      <c r="Q300" s="114"/>
      <c r="R300" s="114"/>
      <c r="S300" s="114"/>
      <c r="T300" s="114"/>
      <c r="U300" s="114"/>
      <c r="V300" s="114"/>
      <c r="W300" s="110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</row>
    <row r="301" spans="2:33" ht="12.75" customHeight="1" x14ac:dyDescent="0.2">
      <c r="B301" s="22">
        <v>1</v>
      </c>
      <c r="D301" s="114" t="s">
        <v>260</v>
      </c>
      <c r="E301" s="114" t="s">
        <v>746</v>
      </c>
      <c r="F301" s="147">
        <v>70250</v>
      </c>
      <c r="G301" s="114"/>
      <c r="H301" s="147">
        <v>70595</v>
      </c>
      <c r="I301" s="217" t="s">
        <v>25</v>
      </c>
      <c r="J301" s="212">
        <v>4</v>
      </c>
      <c r="K301" s="139"/>
      <c r="L301" s="114"/>
      <c r="M301" s="140">
        <f>(H301-F301)/5280</f>
        <v>6.5340909090909088E-2</v>
      </c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</row>
    <row r="302" spans="2:33" ht="12.75" customHeight="1" x14ac:dyDescent="0.2">
      <c r="B302" s="22">
        <v>1</v>
      </c>
      <c r="D302" s="114" t="s">
        <v>261</v>
      </c>
      <c r="E302" s="114" t="s">
        <v>746</v>
      </c>
      <c r="F302" s="147">
        <v>70250</v>
      </c>
      <c r="G302" s="114"/>
      <c r="H302" s="147">
        <v>70575</v>
      </c>
      <c r="I302" s="217" t="s">
        <v>25</v>
      </c>
      <c r="J302" s="212">
        <v>4</v>
      </c>
      <c r="K302" s="139"/>
      <c r="L302" s="114"/>
      <c r="M302" s="140">
        <f>(H302-F302)/5280</f>
        <v>6.1553030303030304E-2</v>
      </c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</row>
    <row r="303" spans="2:33" ht="12.75" customHeight="1" x14ac:dyDescent="0.2">
      <c r="B303" s="22">
        <v>1</v>
      </c>
      <c r="D303" s="114" t="s">
        <v>262</v>
      </c>
      <c r="E303" s="114" t="s">
        <v>746</v>
      </c>
      <c r="F303" s="147">
        <v>70595</v>
      </c>
      <c r="G303" s="114"/>
      <c r="H303" s="147">
        <v>70700</v>
      </c>
      <c r="I303" s="217"/>
      <c r="J303" s="212">
        <v>4</v>
      </c>
      <c r="K303" s="139"/>
      <c r="L303" s="114"/>
      <c r="M303" s="140">
        <f>(H303-F303)/5280</f>
        <v>1.9886363636363636E-2</v>
      </c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</row>
    <row r="304" spans="2:33" ht="12.75" customHeight="1" x14ac:dyDescent="0.2">
      <c r="B304" s="22">
        <v>1</v>
      </c>
      <c r="D304" s="114" t="s">
        <v>263</v>
      </c>
      <c r="E304" s="114" t="s">
        <v>746</v>
      </c>
      <c r="F304" s="147">
        <v>70705</v>
      </c>
      <c r="G304" s="114"/>
      <c r="H304" s="147"/>
      <c r="I304" s="217" t="s">
        <v>25</v>
      </c>
      <c r="J304" s="212">
        <v>4</v>
      </c>
      <c r="K304" s="139"/>
      <c r="L304" s="114"/>
      <c r="M304" s="140">
        <f>30/5280</f>
        <v>5.681818181818182E-3</v>
      </c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</row>
    <row r="305" spans="2:33" ht="12.75" customHeight="1" x14ac:dyDescent="0.2">
      <c r="B305" s="22">
        <v>1</v>
      </c>
      <c r="D305" s="114" t="s">
        <v>264</v>
      </c>
      <c r="E305" s="114" t="s">
        <v>746</v>
      </c>
      <c r="F305" s="147">
        <v>70600</v>
      </c>
      <c r="G305" s="114"/>
      <c r="H305" s="147"/>
      <c r="I305" s="217" t="s">
        <v>25</v>
      </c>
      <c r="J305" s="212">
        <v>4</v>
      </c>
      <c r="K305" s="139"/>
      <c r="L305" s="114"/>
      <c r="M305" s="140">
        <f>35/5280</f>
        <v>6.628787878787879E-3</v>
      </c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</row>
    <row r="306" spans="2:33" ht="12.75" customHeight="1" x14ac:dyDescent="0.2">
      <c r="B306" s="22">
        <v>1</v>
      </c>
      <c r="D306" s="114" t="s">
        <v>265</v>
      </c>
      <c r="E306" s="114" t="s">
        <v>746</v>
      </c>
      <c r="F306" s="147">
        <v>70700</v>
      </c>
      <c r="G306" s="114"/>
      <c r="H306" s="147">
        <v>70750</v>
      </c>
      <c r="I306" s="217"/>
      <c r="J306" s="212">
        <v>4</v>
      </c>
      <c r="K306" s="139"/>
      <c r="L306" s="114"/>
      <c r="M306" s="140">
        <f>35/5280</f>
        <v>6.628787878787879E-3</v>
      </c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</row>
    <row r="307" spans="2:33" ht="12.75" customHeight="1" x14ac:dyDescent="0.2">
      <c r="B307" s="22">
        <v>1</v>
      </c>
      <c r="D307" s="114" t="s">
        <v>266</v>
      </c>
      <c r="E307" s="114" t="s">
        <v>746</v>
      </c>
      <c r="F307" s="147">
        <v>70595</v>
      </c>
      <c r="G307" s="114"/>
      <c r="H307" s="147"/>
      <c r="I307" s="217" t="s">
        <v>25</v>
      </c>
      <c r="J307" s="212">
        <v>4</v>
      </c>
      <c r="K307" s="139"/>
      <c r="L307" s="114"/>
      <c r="M307" s="140">
        <f>64/5280</f>
        <v>1.2121212121212121E-2</v>
      </c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</row>
    <row r="308" spans="2:33" ht="12.75" customHeight="1" x14ac:dyDescent="0.2">
      <c r="B308" s="22">
        <v>1</v>
      </c>
      <c r="D308" s="114" t="s">
        <v>267</v>
      </c>
      <c r="E308" s="114" t="s">
        <v>746</v>
      </c>
      <c r="F308" s="147">
        <v>70720</v>
      </c>
      <c r="G308" s="114"/>
      <c r="H308" s="147">
        <v>70739</v>
      </c>
      <c r="I308" s="217" t="s">
        <v>25</v>
      </c>
      <c r="J308" s="212">
        <v>4</v>
      </c>
      <c r="K308" s="139"/>
      <c r="L308" s="114"/>
      <c r="M308" s="140">
        <f>(29+16)/5280</f>
        <v>8.5227272727272721E-3</v>
      </c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</row>
    <row r="309" spans="2:33" ht="12.75" customHeight="1" x14ac:dyDescent="0.2">
      <c r="B309" s="22">
        <v>1</v>
      </c>
      <c r="D309" s="114" t="s">
        <v>268</v>
      </c>
      <c r="E309" s="114" t="s">
        <v>746</v>
      </c>
      <c r="F309" s="147">
        <v>70250</v>
      </c>
      <c r="G309" s="114"/>
      <c r="H309" s="147">
        <v>70750</v>
      </c>
      <c r="I309" s="217" t="s">
        <v>25</v>
      </c>
      <c r="J309" s="212">
        <v>4</v>
      </c>
      <c r="K309" s="139"/>
      <c r="L309" s="114"/>
      <c r="M309" s="114"/>
      <c r="N309" s="140">
        <f>(H309-F309)/5280</f>
        <v>9.4696969696969696E-2</v>
      </c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</row>
    <row r="310" spans="2:33" ht="12.75" customHeight="1" x14ac:dyDescent="0.2">
      <c r="B310" s="22">
        <v>1</v>
      </c>
      <c r="D310" s="114" t="s">
        <v>618</v>
      </c>
      <c r="E310" s="114" t="s">
        <v>746</v>
      </c>
      <c r="F310" s="147">
        <v>70250</v>
      </c>
      <c r="G310" s="114"/>
      <c r="H310" s="147">
        <v>70750</v>
      </c>
      <c r="I310" s="217" t="s">
        <v>25</v>
      </c>
      <c r="J310" s="212">
        <v>4</v>
      </c>
      <c r="K310" s="141">
        <f>ROUNDUP((H310-F310)/80,0)</f>
        <v>7</v>
      </c>
      <c r="L310" s="114"/>
      <c r="M310" s="114"/>
      <c r="N310" s="140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</row>
    <row r="311" spans="2:33" ht="12.75" customHeight="1" x14ac:dyDescent="0.2">
      <c r="B311" s="22">
        <v>1</v>
      </c>
      <c r="D311" s="114" t="s">
        <v>269</v>
      </c>
      <c r="E311" s="114" t="s">
        <v>746</v>
      </c>
      <c r="F311" s="147">
        <v>70250</v>
      </c>
      <c r="G311" s="114"/>
      <c r="H311" s="147">
        <v>70750</v>
      </c>
      <c r="I311" s="217" t="s">
        <v>35</v>
      </c>
      <c r="J311" s="212">
        <v>4</v>
      </c>
      <c r="K311" s="139"/>
      <c r="L311" s="114"/>
      <c r="M311" s="114"/>
      <c r="N311" s="140">
        <f>(H311-F311)/5280</f>
        <v>9.4696969696969696E-2</v>
      </c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</row>
    <row r="312" spans="2:33" ht="12.75" customHeight="1" x14ac:dyDescent="0.2">
      <c r="B312" s="22">
        <v>1</v>
      </c>
      <c r="D312" s="114" t="s">
        <v>619</v>
      </c>
      <c r="E312" s="114" t="s">
        <v>746</v>
      </c>
      <c r="F312" s="147">
        <v>70250</v>
      </c>
      <c r="G312" s="114"/>
      <c r="H312" s="147">
        <v>70750</v>
      </c>
      <c r="I312" s="217" t="s">
        <v>35</v>
      </c>
      <c r="J312" s="212">
        <v>4</v>
      </c>
      <c r="K312" s="141">
        <f>ROUNDUP((H312-F312)/80,0)</f>
        <v>7</v>
      </c>
      <c r="L312" s="114"/>
      <c r="M312" s="114"/>
      <c r="N312" s="140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</row>
    <row r="313" spans="2:33" ht="12.75" customHeight="1" x14ac:dyDescent="0.2">
      <c r="B313" s="22">
        <v>1</v>
      </c>
      <c r="D313" s="114" t="s">
        <v>270</v>
      </c>
      <c r="E313" s="114" t="s">
        <v>746</v>
      </c>
      <c r="F313" s="147">
        <v>70643</v>
      </c>
      <c r="G313" s="114"/>
      <c r="H313" s="147"/>
      <c r="I313" s="217" t="s">
        <v>25</v>
      </c>
      <c r="J313" s="212">
        <v>4</v>
      </c>
      <c r="K313" s="139"/>
      <c r="L313" s="114"/>
      <c r="M313" s="114"/>
      <c r="N313" s="114"/>
      <c r="O313" s="114"/>
      <c r="P313" s="114">
        <v>15</v>
      </c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</row>
    <row r="314" spans="2:33" ht="12.75" customHeight="1" x14ac:dyDescent="0.2">
      <c r="B314" s="22">
        <v>1</v>
      </c>
      <c r="D314" s="114" t="s">
        <v>271</v>
      </c>
      <c r="E314" s="114" t="s">
        <v>746</v>
      </c>
      <c r="F314" s="147">
        <v>70710</v>
      </c>
      <c r="G314" s="114"/>
      <c r="H314" s="147"/>
      <c r="I314" s="217" t="s">
        <v>25</v>
      </c>
      <c r="J314" s="212">
        <v>4</v>
      </c>
      <c r="K314" s="139"/>
      <c r="L314" s="114"/>
      <c r="M314" s="114"/>
      <c r="N314" s="114"/>
      <c r="O314" s="114"/>
      <c r="P314" s="114">
        <v>14</v>
      </c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</row>
    <row r="315" spans="2:33" ht="12.75" customHeight="1" x14ac:dyDescent="0.2">
      <c r="B315" s="22">
        <v>1</v>
      </c>
      <c r="D315" s="114" t="s">
        <v>200</v>
      </c>
      <c r="E315" s="114" t="s">
        <v>746</v>
      </c>
      <c r="F315" s="147">
        <v>70595</v>
      </c>
      <c r="G315" s="114"/>
      <c r="H315" s="165"/>
      <c r="I315" s="217" t="s">
        <v>25</v>
      </c>
      <c r="J315" s="212">
        <v>4</v>
      </c>
      <c r="K315" s="139"/>
      <c r="L315" s="114"/>
      <c r="M315" s="114"/>
      <c r="N315" s="114"/>
      <c r="O315" s="114"/>
      <c r="P315" s="114"/>
      <c r="Q315" s="114">
        <f>42+32</f>
        <v>74</v>
      </c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</row>
    <row r="316" spans="2:33" ht="12.75" customHeight="1" x14ac:dyDescent="0.2">
      <c r="B316" s="22">
        <v>1</v>
      </c>
      <c r="D316" s="114" t="s">
        <v>272</v>
      </c>
      <c r="E316" s="114" t="s">
        <v>746</v>
      </c>
      <c r="F316" s="147">
        <v>70715</v>
      </c>
      <c r="G316" s="114"/>
      <c r="H316" s="156"/>
      <c r="I316" s="217" t="s">
        <v>25</v>
      </c>
      <c r="J316" s="212">
        <v>4</v>
      </c>
      <c r="K316" s="139"/>
      <c r="L316" s="114"/>
      <c r="M316" s="140"/>
      <c r="N316" s="114"/>
      <c r="O316" s="114"/>
      <c r="P316" s="114"/>
      <c r="Q316" s="114">
        <f>16+16</f>
        <v>32</v>
      </c>
      <c r="R316" s="114"/>
      <c r="S316" s="114"/>
      <c r="T316" s="114"/>
      <c r="U316" s="114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</row>
    <row r="317" spans="2:33" ht="12.75" customHeight="1" x14ac:dyDescent="0.2">
      <c r="B317" s="22">
        <v>1</v>
      </c>
      <c r="D317" s="114" t="s">
        <v>273</v>
      </c>
      <c r="E317" s="114" t="s">
        <v>746</v>
      </c>
      <c r="F317" s="147">
        <v>70595</v>
      </c>
      <c r="G317" s="114"/>
      <c r="H317" s="156"/>
      <c r="I317" s="217" t="s">
        <v>25</v>
      </c>
      <c r="J317" s="212">
        <v>4</v>
      </c>
      <c r="K317" s="139"/>
      <c r="L317" s="114"/>
      <c r="M317" s="140"/>
      <c r="N317" s="114"/>
      <c r="O317" s="114"/>
      <c r="P317" s="114"/>
      <c r="Q317" s="114"/>
      <c r="R317" s="114"/>
      <c r="S317" s="114"/>
      <c r="T317" s="114"/>
      <c r="U317" s="114">
        <v>1</v>
      </c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</row>
    <row r="318" spans="2:33" ht="12.75" customHeight="1" x14ac:dyDescent="0.2">
      <c r="B318" s="22">
        <v>1</v>
      </c>
      <c r="D318" s="114" t="s">
        <v>274</v>
      </c>
      <c r="E318" s="114" t="s">
        <v>746</v>
      </c>
      <c r="F318" s="147">
        <v>70495</v>
      </c>
      <c r="G318" s="114"/>
      <c r="H318" s="156"/>
      <c r="I318" s="217" t="s">
        <v>25</v>
      </c>
      <c r="J318" s="212">
        <v>4</v>
      </c>
      <c r="K318" s="139"/>
      <c r="L318" s="114"/>
      <c r="M318" s="140"/>
      <c r="N318" s="114"/>
      <c r="O318" s="114"/>
      <c r="P318" s="114"/>
      <c r="Q318" s="114"/>
      <c r="R318" s="114"/>
      <c r="S318" s="114"/>
      <c r="T318" s="114"/>
      <c r="U318" s="114">
        <v>1</v>
      </c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</row>
    <row r="319" spans="2:33" ht="12.75" customHeight="1" x14ac:dyDescent="0.2">
      <c r="B319" s="22">
        <v>1</v>
      </c>
      <c r="D319" s="114" t="s">
        <v>620</v>
      </c>
      <c r="E319" s="114" t="s">
        <v>746</v>
      </c>
      <c r="F319" s="147">
        <v>70250</v>
      </c>
      <c r="G319" s="114"/>
      <c r="H319" s="204">
        <v>70595</v>
      </c>
      <c r="I319" s="217" t="s">
        <v>25</v>
      </c>
      <c r="J319" s="212">
        <v>4</v>
      </c>
      <c r="K319" s="139"/>
      <c r="L319" s="114"/>
      <c r="M319" s="140"/>
      <c r="N319" s="114"/>
      <c r="O319" s="110">
        <f>H319-F319</f>
        <v>345</v>
      </c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</row>
    <row r="320" spans="2:33" ht="12.75" customHeight="1" x14ac:dyDescent="0.2">
      <c r="B320" s="22">
        <v>1</v>
      </c>
      <c r="D320" s="114" t="s">
        <v>621</v>
      </c>
      <c r="E320" s="114" t="s">
        <v>746</v>
      </c>
      <c r="F320" s="147">
        <v>70250</v>
      </c>
      <c r="G320" s="114"/>
      <c r="H320" s="204">
        <v>70595</v>
      </c>
      <c r="I320" s="217" t="s">
        <v>25</v>
      </c>
      <c r="J320" s="212">
        <v>4</v>
      </c>
      <c r="K320" s="141">
        <f>ROUNDUP((H320-F320)/40,0)</f>
        <v>9</v>
      </c>
      <c r="L320" s="114"/>
      <c r="M320" s="140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</row>
    <row r="321" spans="2:33" ht="12.75" customHeight="1" x14ac:dyDescent="0.2">
      <c r="B321" s="22"/>
      <c r="D321" s="114"/>
      <c r="E321" s="114"/>
      <c r="F321" s="147"/>
      <c r="G321" s="114"/>
      <c r="H321" s="156"/>
      <c r="I321" s="217"/>
      <c r="J321" s="212"/>
      <c r="K321" s="141"/>
      <c r="L321" s="114"/>
      <c r="M321" s="140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</row>
    <row r="322" spans="2:33" ht="12.75" customHeight="1" x14ac:dyDescent="0.2">
      <c r="B322" s="22"/>
      <c r="D322" s="114"/>
      <c r="E322" s="114"/>
      <c r="F322" s="147"/>
      <c r="G322" s="114"/>
      <c r="H322" s="147"/>
      <c r="I322" s="217"/>
      <c r="J322" s="212"/>
      <c r="K322" s="141"/>
      <c r="L322" s="114"/>
      <c r="M322" s="114"/>
      <c r="N322" s="140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</row>
    <row r="323" spans="2:33" ht="12.75" customHeight="1" x14ac:dyDescent="0.2">
      <c r="B323" s="22"/>
      <c r="D323" s="114"/>
      <c r="E323" s="114"/>
      <c r="F323" s="147"/>
      <c r="G323" s="114"/>
      <c r="H323" s="147"/>
      <c r="I323" s="217"/>
      <c r="J323" s="212"/>
      <c r="K323" s="141"/>
      <c r="L323" s="114"/>
      <c r="M323" s="114"/>
      <c r="N323" s="140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</row>
    <row r="324" spans="2:33" ht="12.75" customHeight="1" x14ac:dyDescent="0.2">
      <c r="B324" s="22"/>
      <c r="D324" s="114"/>
      <c r="E324" s="114"/>
      <c r="F324" s="147"/>
      <c r="G324" s="114"/>
      <c r="H324" s="156"/>
      <c r="I324" s="217"/>
      <c r="J324" s="212"/>
      <c r="K324" s="141"/>
      <c r="L324" s="114"/>
      <c r="M324" s="140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</row>
    <row r="325" spans="2:33" ht="12.75" customHeight="1" x14ac:dyDescent="0.2">
      <c r="B325" s="22"/>
      <c r="D325" s="114"/>
      <c r="E325" s="114"/>
      <c r="F325" s="147"/>
      <c r="G325" s="114"/>
      <c r="H325" s="156"/>
      <c r="I325" s="217"/>
      <c r="J325" s="212"/>
      <c r="K325" s="141"/>
      <c r="L325" s="114"/>
      <c r="M325" s="140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</row>
    <row r="326" spans="2:33" ht="12.75" customHeight="1" x14ac:dyDescent="0.2">
      <c r="B326" s="22"/>
      <c r="D326" s="114"/>
      <c r="E326" s="114"/>
      <c r="F326" s="147"/>
      <c r="G326" s="114"/>
      <c r="H326" s="147"/>
      <c r="I326" s="217"/>
      <c r="J326" s="212"/>
      <c r="K326" s="141"/>
      <c r="L326" s="114"/>
      <c r="M326" s="114"/>
      <c r="N326" s="140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</row>
    <row r="327" spans="2:33" ht="12.75" customHeight="1" x14ac:dyDescent="0.2">
      <c r="B327" s="22"/>
      <c r="D327" s="114"/>
      <c r="E327" s="114"/>
      <c r="F327" s="147"/>
      <c r="G327" s="114"/>
      <c r="H327" s="147"/>
      <c r="I327" s="217"/>
      <c r="J327" s="212"/>
      <c r="K327" s="141"/>
      <c r="L327" s="114"/>
      <c r="M327" s="114"/>
      <c r="N327" s="140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</row>
    <row r="328" spans="2:33" ht="12.75" customHeight="1" thickBot="1" x14ac:dyDescent="0.25">
      <c r="B328" s="22"/>
      <c r="D328" s="114"/>
      <c r="E328" s="114"/>
      <c r="F328" s="147"/>
      <c r="G328" s="114"/>
      <c r="H328" s="147"/>
      <c r="I328" s="219"/>
      <c r="J328" s="213"/>
      <c r="K328" s="141"/>
      <c r="L328" s="114"/>
      <c r="M328" s="114"/>
      <c r="N328" s="140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</row>
    <row r="329" spans="2:33" ht="12.75" customHeight="1" x14ac:dyDescent="0.2">
      <c r="B329" s="5" t="s">
        <v>11</v>
      </c>
      <c r="D329" s="271" t="s">
        <v>767</v>
      </c>
      <c r="E329" s="272"/>
      <c r="F329" s="272"/>
      <c r="G329" s="272"/>
      <c r="H329" s="272"/>
      <c r="I329" s="272"/>
      <c r="J329" s="272"/>
      <c r="K329" s="173">
        <f t="shared" ref="K329:AG329" si="39">SUM(K265:K328)</f>
        <v>90</v>
      </c>
      <c r="L329" s="173">
        <f t="shared" si="39"/>
        <v>0</v>
      </c>
      <c r="M329" s="173">
        <f t="shared" si="39"/>
        <v>0.82007575757575757</v>
      </c>
      <c r="N329" s="173">
        <f t="shared" si="39"/>
        <v>0.61742424242424243</v>
      </c>
      <c r="O329" s="173">
        <f t="shared" si="39"/>
        <v>400</v>
      </c>
      <c r="P329" s="173">
        <f t="shared" si="39"/>
        <v>29</v>
      </c>
      <c r="Q329" s="173">
        <f t="shared" si="39"/>
        <v>106</v>
      </c>
      <c r="R329" s="173">
        <f t="shared" si="39"/>
        <v>0</v>
      </c>
      <c r="S329" s="173">
        <f t="shared" si="39"/>
        <v>122</v>
      </c>
      <c r="T329" s="173">
        <f t="shared" si="39"/>
        <v>0</v>
      </c>
      <c r="U329" s="173">
        <f t="shared" si="39"/>
        <v>2</v>
      </c>
      <c r="V329" s="173">
        <f t="shared" si="39"/>
        <v>0</v>
      </c>
      <c r="W329" s="173">
        <f t="shared" si="39"/>
        <v>432</v>
      </c>
      <c r="X329" s="173">
        <f t="shared" si="39"/>
        <v>0</v>
      </c>
      <c r="Y329" s="173">
        <f t="shared" si="39"/>
        <v>0</v>
      </c>
      <c r="Z329" s="173">
        <f t="shared" si="39"/>
        <v>0</v>
      </c>
      <c r="AA329" s="173">
        <f t="shared" si="39"/>
        <v>0</v>
      </c>
      <c r="AB329" s="173">
        <f t="shared" si="39"/>
        <v>0</v>
      </c>
      <c r="AC329" s="173">
        <f t="shared" si="39"/>
        <v>0</v>
      </c>
      <c r="AD329" s="173">
        <f t="shared" si="39"/>
        <v>0</v>
      </c>
      <c r="AE329" s="173">
        <f t="shared" si="39"/>
        <v>0</v>
      </c>
      <c r="AF329" s="173">
        <f t="shared" si="39"/>
        <v>0</v>
      </c>
      <c r="AG329" s="173">
        <f t="shared" si="39"/>
        <v>0</v>
      </c>
    </row>
    <row r="330" spans="2:33" ht="12.75" customHeight="1" x14ac:dyDescent="0.2">
      <c r="D330" s="191" t="s">
        <v>701</v>
      </c>
      <c r="E330" s="192"/>
      <c r="F330" s="192"/>
      <c r="G330" s="192"/>
      <c r="H330" s="192"/>
      <c r="I330" s="214"/>
      <c r="J330" s="214"/>
      <c r="K330" s="193">
        <f>SUMIF(J265:J328, 1, K265:K328)</f>
        <v>47</v>
      </c>
      <c r="L330" s="193">
        <f t="shared" ref="L330:AG330" si="40">SUMIF($J265:$J328, 1, L265:L328)</f>
        <v>0</v>
      </c>
      <c r="M330" s="193">
        <f t="shared" si="40"/>
        <v>0.25492424242424244</v>
      </c>
      <c r="N330" s="193">
        <f t="shared" si="40"/>
        <v>0.17121212121212123</v>
      </c>
      <c r="O330" s="193">
        <f t="shared" si="40"/>
        <v>0</v>
      </c>
      <c r="P330" s="193">
        <f t="shared" si="40"/>
        <v>0</v>
      </c>
      <c r="Q330" s="193">
        <f t="shared" si="40"/>
        <v>0</v>
      </c>
      <c r="R330" s="193">
        <f t="shared" si="40"/>
        <v>0</v>
      </c>
      <c r="S330" s="193">
        <f t="shared" si="40"/>
        <v>122</v>
      </c>
      <c r="T330" s="193">
        <f t="shared" si="40"/>
        <v>0</v>
      </c>
      <c r="U330" s="193">
        <f t="shared" si="40"/>
        <v>0</v>
      </c>
      <c r="V330" s="193">
        <f t="shared" si="40"/>
        <v>0</v>
      </c>
      <c r="W330" s="193">
        <f t="shared" si="40"/>
        <v>0</v>
      </c>
      <c r="X330" s="193">
        <f t="shared" si="40"/>
        <v>0</v>
      </c>
      <c r="Y330" s="193">
        <f t="shared" si="40"/>
        <v>0</v>
      </c>
      <c r="Z330" s="193">
        <f t="shared" si="40"/>
        <v>0</v>
      </c>
      <c r="AA330" s="193">
        <f t="shared" si="40"/>
        <v>0</v>
      </c>
      <c r="AB330" s="193">
        <f t="shared" si="40"/>
        <v>0</v>
      </c>
      <c r="AC330" s="193">
        <f t="shared" si="40"/>
        <v>0</v>
      </c>
      <c r="AD330" s="193">
        <f t="shared" si="40"/>
        <v>0</v>
      </c>
      <c r="AE330" s="193">
        <f t="shared" si="40"/>
        <v>0</v>
      </c>
      <c r="AF330" s="193">
        <f t="shared" si="40"/>
        <v>0</v>
      </c>
      <c r="AG330" s="193">
        <f t="shared" si="40"/>
        <v>0</v>
      </c>
    </row>
    <row r="331" spans="2:33" ht="12.75" customHeight="1" x14ac:dyDescent="0.2">
      <c r="D331" s="191" t="s">
        <v>702</v>
      </c>
      <c r="E331" s="192"/>
      <c r="F331" s="192"/>
      <c r="G331" s="192"/>
      <c r="H331" s="192"/>
      <c r="I331" s="214"/>
      <c r="J331" s="214"/>
      <c r="K331" s="193">
        <f>SUMIF(J265:J328, 4, K265:K328)</f>
        <v>43</v>
      </c>
      <c r="L331" s="193">
        <f t="shared" ref="L331:AG331" si="41">SUMIF($J265:$J328, 4, L265:L328)</f>
        <v>0</v>
      </c>
      <c r="M331" s="193">
        <f t="shared" si="41"/>
        <v>0.56515151515151507</v>
      </c>
      <c r="N331" s="193">
        <f t="shared" si="41"/>
        <v>0.44621212121212128</v>
      </c>
      <c r="O331" s="193">
        <f t="shared" si="41"/>
        <v>400</v>
      </c>
      <c r="P331" s="193">
        <f t="shared" si="41"/>
        <v>29</v>
      </c>
      <c r="Q331" s="193">
        <f t="shared" si="41"/>
        <v>106</v>
      </c>
      <c r="R331" s="193">
        <f t="shared" si="41"/>
        <v>0</v>
      </c>
      <c r="S331" s="193">
        <f t="shared" si="41"/>
        <v>0</v>
      </c>
      <c r="T331" s="193">
        <f t="shared" si="41"/>
        <v>0</v>
      </c>
      <c r="U331" s="193">
        <f t="shared" si="41"/>
        <v>2</v>
      </c>
      <c r="V331" s="193">
        <f t="shared" si="41"/>
        <v>0</v>
      </c>
      <c r="W331" s="193">
        <f t="shared" si="41"/>
        <v>432</v>
      </c>
      <c r="X331" s="193">
        <f t="shared" si="41"/>
        <v>0</v>
      </c>
      <c r="Y331" s="193">
        <f t="shared" si="41"/>
        <v>0</v>
      </c>
      <c r="Z331" s="193">
        <f t="shared" si="41"/>
        <v>0</v>
      </c>
      <c r="AA331" s="193">
        <f t="shared" si="41"/>
        <v>0</v>
      </c>
      <c r="AB331" s="193">
        <f t="shared" si="41"/>
        <v>0</v>
      </c>
      <c r="AC331" s="193">
        <f t="shared" si="41"/>
        <v>0</v>
      </c>
      <c r="AD331" s="193">
        <f t="shared" si="41"/>
        <v>0</v>
      </c>
      <c r="AE331" s="193">
        <f t="shared" si="41"/>
        <v>0</v>
      </c>
      <c r="AF331" s="193">
        <f t="shared" si="41"/>
        <v>0</v>
      </c>
      <c r="AG331" s="193">
        <f t="shared" si="41"/>
        <v>0</v>
      </c>
    </row>
    <row r="332" spans="2:33" ht="12.75" customHeight="1" x14ac:dyDescent="0.2">
      <c r="D332" s="191" t="s">
        <v>703</v>
      </c>
      <c r="E332" s="192"/>
      <c r="F332" s="192"/>
      <c r="G332" s="192"/>
      <c r="H332" s="192"/>
      <c r="I332" s="214"/>
      <c r="J332" s="214"/>
      <c r="K332" s="193">
        <f>SUMIF(J265:J328, 6, K265:K328)</f>
        <v>0</v>
      </c>
      <c r="L332" s="193">
        <f t="shared" ref="L332:AG332" si="42">SUMIF($J265:$J328, 6, L265:L328)</f>
        <v>0</v>
      </c>
      <c r="M332" s="193">
        <f t="shared" si="42"/>
        <v>0</v>
      </c>
      <c r="N332" s="193">
        <f t="shared" si="42"/>
        <v>0</v>
      </c>
      <c r="O332" s="193">
        <f t="shared" si="42"/>
        <v>0</v>
      </c>
      <c r="P332" s="193">
        <f t="shared" si="42"/>
        <v>0</v>
      </c>
      <c r="Q332" s="193">
        <f t="shared" si="42"/>
        <v>0</v>
      </c>
      <c r="R332" s="193">
        <f t="shared" si="42"/>
        <v>0</v>
      </c>
      <c r="S332" s="193">
        <f t="shared" si="42"/>
        <v>0</v>
      </c>
      <c r="T332" s="193">
        <f t="shared" si="42"/>
        <v>0</v>
      </c>
      <c r="U332" s="193">
        <f t="shared" si="42"/>
        <v>0</v>
      </c>
      <c r="V332" s="193">
        <f t="shared" si="42"/>
        <v>0</v>
      </c>
      <c r="W332" s="193">
        <f t="shared" si="42"/>
        <v>0</v>
      </c>
      <c r="X332" s="193">
        <f t="shared" si="42"/>
        <v>0</v>
      </c>
      <c r="Y332" s="193">
        <f t="shared" si="42"/>
        <v>0</v>
      </c>
      <c r="Z332" s="193">
        <f t="shared" si="42"/>
        <v>0</v>
      </c>
      <c r="AA332" s="193">
        <f t="shared" si="42"/>
        <v>0</v>
      </c>
      <c r="AB332" s="193">
        <f t="shared" si="42"/>
        <v>0</v>
      </c>
      <c r="AC332" s="193">
        <f t="shared" si="42"/>
        <v>0</v>
      </c>
      <c r="AD332" s="193">
        <f t="shared" si="42"/>
        <v>0</v>
      </c>
      <c r="AE332" s="193">
        <f t="shared" si="42"/>
        <v>0</v>
      </c>
      <c r="AF332" s="193">
        <f t="shared" si="42"/>
        <v>0</v>
      </c>
      <c r="AG332" s="193">
        <f t="shared" si="42"/>
        <v>0</v>
      </c>
    </row>
    <row r="333" spans="2:33" ht="12.75" customHeight="1" thickBot="1" x14ac:dyDescent="0.25"/>
    <row r="334" spans="2:33" ht="12.75" customHeight="1" thickBot="1" x14ac:dyDescent="0.25">
      <c r="B334" s="20" t="s">
        <v>9</v>
      </c>
      <c r="D334" s="277" t="str">
        <f>"SUBSUMMARY SHEET " &amp; B335</f>
        <v>SUBSUMMARY SHEET 5</v>
      </c>
      <c r="E334" s="277"/>
      <c r="F334" s="277"/>
      <c r="G334" s="277"/>
      <c r="H334" s="277"/>
      <c r="I334" s="277"/>
      <c r="J334" s="277"/>
      <c r="K334" s="277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  <c r="X334" s="277"/>
      <c r="Y334" s="277"/>
      <c r="Z334" s="277"/>
      <c r="AA334" s="277"/>
      <c r="AB334" s="277"/>
      <c r="AC334" s="277"/>
      <c r="AD334" s="277"/>
      <c r="AE334" s="277"/>
      <c r="AF334" s="194"/>
      <c r="AG334" s="194"/>
    </row>
    <row r="335" spans="2:33" ht="12.75" customHeight="1" thickBot="1" x14ac:dyDescent="0.25">
      <c r="B335" s="24">
        <v>5</v>
      </c>
      <c r="D335" s="279" t="s">
        <v>7</v>
      </c>
      <c r="E335" s="279"/>
      <c r="F335" s="279"/>
      <c r="G335" s="279"/>
      <c r="H335" s="279"/>
      <c r="I335" s="209"/>
      <c r="J335" s="209"/>
      <c r="K335" s="183" t="s">
        <v>26</v>
      </c>
      <c r="L335" s="183" t="s">
        <v>27</v>
      </c>
      <c r="M335" s="183" t="s">
        <v>693</v>
      </c>
      <c r="N335" s="183" t="s">
        <v>694</v>
      </c>
      <c r="O335" s="183" t="s">
        <v>40</v>
      </c>
      <c r="P335" s="183" t="s">
        <v>42</v>
      </c>
      <c r="Q335" s="183" t="s">
        <v>44</v>
      </c>
      <c r="R335" s="183" t="s">
        <v>705</v>
      </c>
      <c r="S335" s="183" t="s">
        <v>47</v>
      </c>
      <c r="T335" s="183" t="s">
        <v>49</v>
      </c>
      <c r="U335" s="183" t="s">
        <v>52</v>
      </c>
      <c r="V335" s="183" t="s">
        <v>53</v>
      </c>
      <c r="W335" s="183" t="s">
        <v>55</v>
      </c>
      <c r="X335" s="183" t="s">
        <v>57</v>
      </c>
      <c r="Y335" s="183" t="s">
        <v>63</v>
      </c>
      <c r="Z335" s="183" t="s">
        <v>65</v>
      </c>
      <c r="AA335" s="183" t="s">
        <v>707</v>
      </c>
      <c r="AB335" s="183" t="s">
        <v>709</v>
      </c>
      <c r="AC335" s="183" t="s">
        <v>70</v>
      </c>
      <c r="AD335" s="183" t="s">
        <v>71</v>
      </c>
      <c r="AE335" s="183" t="s">
        <v>72</v>
      </c>
      <c r="AF335" s="183" t="s">
        <v>73</v>
      </c>
      <c r="AG335" s="183" t="s">
        <v>688</v>
      </c>
    </row>
    <row r="336" spans="2:33" ht="12.75" customHeight="1" thickBot="1" x14ac:dyDescent="0.25">
      <c r="D336" s="280" t="s">
        <v>8</v>
      </c>
      <c r="E336" s="280"/>
      <c r="F336" s="280"/>
      <c r="G336" s="280"/>
      <c r="H336" s="280"/>
      <c r="I336" s="210"/>
      <c r="J336" s="210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/>
    </row>
    <row r="337" spans="2:33" ht="12.75" customHeight="1" x14ac:dyDescent="0.2">
      <c r="B337" s="250" t="s">
        <v>10</v>
      </c>
      <c r="D337" s="253" t="s">
        <v>20</v>
      </c>
      <c r="E337" s="253" t="s">
        <v>21</v>
      </c>
      <c r="F337" s="256" t="s">
        <v>0</v>
      </c>
      <c r="G337" s="257"/>
      <c r="H337" s="257"/>
      <c r="I337" s="262" t="s">
        <v>23</v>
      </c>
      <c r="J337" s="274" t="s">
        <v>704</v>
      </c>
      <c r="K337" s="161" t="str">
        <f>IF(OR(TRIM(K335)=0,TRIM(K335)=""),"",IF(IFERROR(TRIM(INDEX(QryItemNamed,MATCH(TRIM(K335),ITEM,0),2)),"")="Y","SPECIAL",LEFT(IFERROR(TRIM(INDEX(ITEM,MATCH(TRIM(K335),ITEM,0))),""),3)))</f>
        <v>621</v>
      </c>
      <c r="L337" s="145" t="str">
        <f>IF(OR(TRIM(L335)=0,TRIM(L335)=""),"",IF(IFERROR(TRIM(INDEX(QryItemNamed,MATCH(TRIM(L335),ITEM,0),2)),"")="Y","SPECIAL",LEFT(IFERROR(TRIM(INDEX(ITEM,MATCH(TRIM(L335),ITEM,0))),""),3)))</f>
        <v>621</v>
      </c>
      <c r="M337" s="145">
        <v>642</v>
      </c>
      <c r="N337" s="145">
        <v>642</v>
      </c>
      <c r="O337" s="145">
        <v>644</v>
      </c>
      <c r="P337" s="145">
        <v>644</v>
      </c>
      <c r="Q337" s="145">
        <v>644</v>
      </c>
      <c r="R337" s="145">
        <v>644</v>
      </c>
      <c r="S337" s="145">
        <v>644</v>
      </c>
      <c r="T337" s="145" t="s">
        <v>124</v>
      </c>
      <c r="U337" s="145">
        <v>644</v>
      </c>
      <c r="V337" s="145">
        <v>644</v>
      </c>
      <c r="W337" s="145">
        <v>644</v>
      </c>
      <c r="X337" s="145">
        <v>644</v>
      </c>
      <c r="Y337" s="145">
        <v>644</v>
      </c>
      <c r="Z337" s="145">
        <v>644</v>
      </c>
      <c r="AA337" s="145">
        <v>646</v>
      </c>
      <c r="AB337" s="145">
        <v>646</v>
      </c>
      <c r="AC337" s="145" t="s">
        <v>124</v>
      </c>
      <c r="AD337" s="145" t="s">
        <v>675</v>
      </c>
      <c r="AE337" s="145" t="s">
        <v>675</v>
      </c>
      <c r="AF337" s="145" t="s">
        <v>675</v>
      </c>
      <c r="AG337" s="145">
        <v>874</v>
      </c>
    </row>
    <row r="338" spans="2:33" ht="12.75" customHeight="1" x14ac:dyDescent="0.2">
      <c r="B338" s="251"/>
      <c r="D338" s="254"/>
      <c r="E338" s="254"/>
      <c r="F338" s="258"/>
      <c r="G338" s="259"/>
      <c r="H338" s="259"/>
      <c r="I338" s="263"/>
      <c r="J338" s="275"/>
      <c r="K338" s="265" t="str">
        <f>IF(OR(TRIM(K335)=0,TRIM(K335)=""),IF(K336="","",K336),IF(IFERROR(TRIM(INDEX(QryItemNamed,MATCH(TRIM(K335),ITEM,0),2)),"")="Y",TRIM(RIGHT(IFERROR(TRIM(INDEX(QryItemNamed,MATCH(TRIM(K335),ITEM,0),4)),"123456789012"),LEN(IFERROR(TRIM(INDEX(QryItemNamed,MATCH(TRIM(K335),ITEM,0),4)),"123456789012"))-9))&amp;K336,IFERROR(TRIM(INDEX(QryItemNamed,MATCH(TRIM(K335),ITEM,0),4))&amp;K336,"ITEM CODE DOES NOT EXIST IN ITEM MASTER")))</f>
        <v>RPM</v>
      </c>
      <c r="L338" s="244" t="str">
        <f>IF(OR(TRIM(L335)=0,TRIM(L335)=""),IF(L336="","",L336),IF(IFERROR(TRIM(INDEX(QryItemNamed,MATCH(TRIM(L335),ITEM,0),2)),"")="Y",TRIM(RIGHT(IFERROR(TRIM(INDEX(QryItemNamed,MATCH(TRIM(L335),ITEM,0),4)),"123456789012"),LEN(IFERROR(TRIM(INDEX(QryItemNamed,MATCH(TRIM(L335),ITEM,0),4)),"123456789012"))-9))&amp;L336,IFERROR(TRIM(INDEX(QryItemNamed,MATCH(TRIM(L335),ITEM,0),4))&amp;L336,"ITEM CODE DOES NOT EXIST IN ITEM MASTER")))</f>
        <v>RAISED PAVEMENT MARKER REMOVED</v>
      </c>
      <c r="M338" s="278" t="s">
        <v>692</v>
      </c>
      <c r="N338" s="278" t="s">
        <v>695</v>
      </c>
      <c r="O338" s="278" t="s">
        <v>41</v>
      </c>
      <c r="P338" s="278" t="s">
        <v>43</v>
      </c>
      <c r="Q338" s="278" t="s">
        <v>45</v>
      </c>
      <c r="R338" s="278" t="s">
        <v>706</v>
      </c>
      <c r="S338" s="244" t="s">
        <v>48</v>
      </c>
      <c r="T338" s="244" t="s">
        <v>50</v>
      </c>
      <c r="U338" s="244" t="s">
        <v>59</v>
      </c>
      <c r="V338" s="244" t="s">
        <v>54</v>
      </c>
      <c r="W338" s="244" t="s">
        <v>56</v>
      </c>
      <c r="X338" s="268" t="s">
        <v>58</v>
      </c>
      <c r="Y338" s="268" t="s">
        <v>64</v>
      </c>
      <c r="Z338" s="268" t="s">
        <v>66</v>
      </c>
      <c r="AA338" s="244" t="s">
        <v>708</v>
      </c>
      <c r="AB338" s="244" t="s">
        <v>32</v>
      </c>
      <c r="AC338" s="244" t="s">
        <v>74</v>
      </c>
      <c r="AD338" s="244" t="s">
        <v>672</v>
      </c>
      <c r="AE338" s="244" t="s">
        <v>671</v>
      </c>
      <c r="AF338" s="244" t="s">
        <v>670</v>
      </c>
      <c r="AG338" s="244" t="s">
        <v>689</v>
      </c>
    </row>
    <row r="339" spans="2:33" ht="12.75" customHeight="1" x14ac:dyDescent="0.2">
      <c r="B339" s="251"/>
      <c r="D339" s="254"/>
      <c r="E339" s="254"/>
      <c r="F339" s="258"/>
      <c r="G339" s="259"/>
      <c r="H339" s="259"/>
      <c r="I339" s="263"/>
      <c r="J339" s="275"/>
      <c r="K339" s="266"/>
      <c r="L339" s="245"/>
      <c r="M339" s="278"/>
      <c r="N339" s="278"/>
      <c r="O339" s="278"/>
      <c r="P339" s="278"/>
      <c r="Q339" s="278"/>
      <c r="R339" s="278"/>
      <c r="S339" s="245"/>
      <c r="T339" s="245"/>
      <c r="U339" s="245"/>
      <c r="V339" s="245"/>
      <c r="W339" s="245"/>
      <c r="X339" s="269"/>
      <c r="Y339" s="269"/>
      <c r="Z339" s="269"/>
      <c r="AA339" s="245"/>
      <c r="AB339" s="245"/>
      <c r="AC339" s="245"/>
      <c r="AD339" s="245"/>
      <c r="AE339" s="245"/>
      <c r="AF339" s="245"/>
      <c r="AG339" s="245"/>
    </row>
    <row r="340" spans="2:33" ht="12.75" customHeight="1" x14ac:dyDescent="0.2">
      <c r="B340" s="251"/>
      <c r="D340" s="254"/>
      <c r="E340" s="254"/>
      <c r="F340" s="258"/>
      <c r="G340" s="259"/>
      <c r="H340" s="259"/>
      <c r="I340" s="263"/>
      <c r="J340" s="275"/>
      <c r="K340" s="266"/>
      <c r="L340" s="245"/>
      <c r="M340" s="278"/>
      <c r="N340" s="278"/>
      <c r="O340" s="278"/>
      <c r="P340" s="278"/>
      <c r="Q340" s="278"/>
      <c r="R340" s="278"/>
      <c r="S340" s="245"/>
      <c r="T340" s="245"/>
      <c r="U340" s="245"/>
      <c r="V340" s="245"/>
      <c r="W340" s="245"/>
      <c r="X340" s="269"/>
      <c r="Y340" s="269"/>
      <c r="Z340" s="269"/>
      <c r="AA340" s="245"/>
      <c r="AB340" s="245"/>
      <c r="AC340" s="245"/>
      <c r="AD340" s="245"/>
      <c r="AE340" s="245"/>
      <c r="AF340" s="245"/>
      <c r="AG340" s="245"/>
    </row>
    <row r="341" spans="2:33" ht="12.75" customHeight="1" x14ac:dyDescent="0.2">
      <c r="B341" s="251"/>
      <c r="D341" s="254"/>
      <c r="E341" s="254"/>
      <c r="F341" s="258"/>
      <c r="G341" s="259"/>
      <c r="H341" s="259"/>
      <c r="I341" s="263"/>
      <c r="J341" s="275"/>
      <c r="K341" s="266"/>
      <c r="L341" s="245"/>
      <c r="M341" s="278"/>
      <c r="N341" s="278"/>
      <c r="O341" s="278"/>
      <c r="P341" s="278"/>
      <c r="Q341" s="278"/>
      <c r="R341" s="278"/>
      <c r="S341" s="245"/>
      <c r="T341" s="245"/>
      <c r="U341" s="245"/>
      <c r="V341" s="245"/>
      <c r="W341" s="245"/>
      <c r="X341" s="269"/>
      <c r="Y341" s="269"/>
      <c r="Z341" s="269"/>
      <c r="AA341" s="245"/>
      <c r="AB341" s="245"/>
      <c r="AC341" s="245"/>
      <c r="AD341" s="245"/>
      <c r="AE341" s="245"/>
      <c r="AF341" s="245"/>
      <c r="AG341" s="245"/>
    </row>
    <row r="342" spans="2:33" ht="12.75" customHeight="1" x14ac:dyDescent="0.2">
      <c r="B342" s="251"/>
      <c r="D342" s="254"/>
      <c r="E342" s="254"/>
      <c r="F342" s="258"/>
      <c r="G342" s="259"/>
      <c r="H342" s="259"/>
      <c r="I342" s="263"/>
      <c r="J342" s="275"/>
      <c r="K342" s="266"/>
      <c r="L342" s="245"/>
      <c r="M342" s="278"/>
      <c r="N342" s="278"/>
      <c r="O342" s="278"/>
      <c r="P342" s="278"/>
      <c r="Q342" s="278"/>
      <c r="R342" s="278"/>
      <c r="S342" s="245"/>
      <c r="T342" s="245"/>
      <c r="U342" s="245"/>
      <c r="V342" s="245"/>
      <c r="W342" s="245"/>
      <c r="X342" s="269"/>
      <c r="Y342" s="269"/>
      <c r="Z342" s="269"/>
      <c r="AA342" s="245"/>
      <c r="AB342" s="245"/>
      <c r="AC342" s="245"/>
      <c r="AD342" s="245"/>
      <c r="AE342" s="245"/>
      <c r="AF342" s="245"/>
      <c r="AG342" s="245"/>
    </row>
    <row r="343" spans="2:33" ht="12.75" customHeight="1" x14ac:dyDescent="0.2">
      <c r="B343" s="251"/>
      <c r="D343" s="254"/>
      <c r="E343" s="254"/>
      <c r="F343" s="258"/>
      <c r="G343" s="259"/>
      <c r="H343" s="259"/>
      <c r="I343" s="263"/>
      <c r="J343" s="275"/>
      <c r="K343" s="266"/>
      <c r="L343" s="245"/>
      <c r="M343" s="278"/>
      <c r="N343" s="278"/>
      <c r="O343" s="278"/>
      <c r="P343" s="278"/>
      <c r="Q343" s="278"/>
      <c r="R343" s="278"/>
      <c r="S343" s="245"/>
      <c r="T343" s="245"/>
      <c r="U343" s="245"/>
      <c r="V343" s="245"/>
      <c r="W343" s="245"/>
      <c r="X343" s="269"/>
      <c r="Y343" s="269"/>
      <c r="Z343" s="269"/>
      <c r="AA343" s="245"/>
      <c r="AB343" s="245"/>
      <c r="AC343" s="245"/>
      <c r="AD343" s="245"/>
      <c r="AE343" s="245"/>
      <c r="AF343" s="245"/>
      <c r="AG343" s="245"/>
    </row>
    <row r="344" spans="2:33" ht="12.75" customHeight="1" x14ac:dyDescent="0.2">
      <c r="B344" s="251"/>
      <c r="D344" s="254"/>
      <c r="E344" s="254"/>
      <c r="F344" s="258"/>
      <c r="G344" s="259"/>
      <c r="H344" s="259"/>
      <c r="I344" s="263"/>
      <c r="J344" s="275"/>
      <c r="K344" s="266"/>
      <c r="L344" s="245"/>
      <c r="M344" s="278"/>
      <c r="N344" s="278"/>
      <c r="O344" s="278"/>
      <c r="P344" s="278"/>
      <c r="Q344" s="278"/>
      <c r="R344" s="278"/>
      <c r="S344" s="245"/>
      <c r="T344" s="245"/>
      <c r="U344" s="245"/>
      <c r="V344" s="245"/>
      <c r="W344" s="245"/>
      <c r="X344" s="269"/>
      <c r="Y344" s="269"/>
      <c r="Z344" s="269"/>
      <c r="AA344" s="245"/>
      <c r="AB344" s="245"/>
      <c r="AC344" s="245"/>
      <c r="AD344" s="245"/>
      <c r="AE344" s="245"/>
      <c r="AF344" s="245"/>
      <c r="AG344" s="245"/>
    </row>
    <row r="345" spans="2:33" ht="12.75" customHeight="1" x14ac:dyDescent="0.2">
      <c r="B345" s="251"/>
      <c r="D345" s="254"/>
      <c r="E345" s="254"/>
      <c r="F345" s="258"/>
      <c r="G345" s="259"/>
      <c r="H345" s="259"/>
      <c r="I345" s="263"/>
      <c r="J345" s="275"/>
      <c r="K345" s="266"/>
      <c r="L345" s="245"/>
      <c r="M345" s="278"/>
      <c r="N345" s="278"/>
      <c r="O345" s="278"/>
      <c r="P345" s="278"/>
      <c r="Q345" s="278"/>
      <c r="R345" s="278"/>
      <c r="S345" s="245"/>
      <c r="T345" s="245"/>
      <c r="U345" s="245"/>
      <c r="V345" s="245"/>
      <c r="W345" s="245"/>
      <c r="X345" s="269"/>
      <c r="Y345" s="269"/>
      <c r="Z345" s="269"/>
      <c r="AA345" s="245"/>
      <c r="AB345" s="245"/>
      <c r="AC345" s="245"/>
      <c r="AD345" s="245"/>
      <c r="AE345" s="245"/>
      <c r="AF345" s="245"/>
      <c r="AG345" s="245"/>
    </row>
    <row r="346" spans="2:33" ht="12.75" customHeight="1" x14ac:dyDescent="0.2">
      <c r="B346" s="251"/>
      <c r="D346" s="254"/>
      <c r="E346" s="254"/>
      <c r="F346" s="258"/>
      <c r="G346" s="259"/>
      <c r="H346" s="259"/>
      <c r="I346" s="263"/>
      <c r="J346" s="275"/>
      <c r="K346" s="266"/>
      <c r="L346" s="245"/>
      <c r="M346" s="278"/>
      <c r="N346" s="278"/>
      <c r="O346" s="278"/>
      <c r="P346" s="278"/>
      <c r="Q346" s="278"/>
      <c r="R346" s="278"/>
      <c r="S346" s="245"/>
      <c r="T346" s="245"/>
      <c r="U346" s="245"/>
      <c r="V346" s="245"/>
      <c r="W346" s="245"/>
      <c r="X346" s="269"/>
      <c r="Y346" s="269"/>
      <c r="Z346" s="269"/>
      <c r="AA346" s="245"/>
      <c r="AB346" s="245"/>
      <c r="AC346" s="245"/>
      <c r="AD346" s="245"/>
      <c r="AE346" s="245"/>
      <c r="AF346" s="245"/>
      <c r="AG346" s="245"/>
    </row>
    <row r="347" spans="2:33" ht="12.75" customHeight="1" x14ac:dyDescent="0.2">
      <c r="B347" s="251"/>
      <c r="D347" s="254"/>
      <c r="E347" s="254"/>
      <c r="F347" s="258"/>
      <c r="G347" s="259"/>
      <c r="H347" s="259"/>
      <c r="I347" s="263"/>
      <c r="J347" s="275"/>
      <c r="K347" s="266"/>
      <c r="L347" s="245"/>
      <c r="M347" s="278"/>
      <c r="N347" s="278"/>
      <c r="O347" s="278"/>
      <c r="P347" s="278"/>
      <c r="Q347" s="278"/>
      <c r="R347" s="278"/>
      <c r="S347" s="245"/>
      <c r="T347" s="245"/>
      <c r="U347" s="245"/>
      <c r="V347" s="245"/>
      <c r="W347" s="245"/>
      <c r="X347" s="269"/>
      <c r="Y347" s="269"/>
      <c r="Z347" s="269"/>
      <c r="AA347" s="245"/>
      <c r="AB347" s="245"/>
      <c r="AC347" s="245"/>
      <c r="AD347" s="245"/>
      <c r="AE347" s="245"/>
      <c r="AF347" s="245"/>
      <c r="AG347" s="245"/>
    </row>
    <row r="348" spans="2:33" ht="12.75" customHeight="1" x14ac:dyDescent="0.2">
      <c r="B348" s="251"/>
      <c r="D348" s="254"/>
      <c r="E348" s="254"/>
      <c r="F348" s="258"/>
      <c r="G348" s="259"/>
      <c r="H348" s="259"/>
      <c r="I348" s="263"/>
      <c r="J348" s="275"/>
      <c r="K348" s="266"/>
      <c r="L348" s="245"/>
      <c r="M348" s="278"/>
      <c r="N348" s="278"/>
      <c r="O348" s="278"/>
      <c r="P348" s="278"/>
      <c r="Q348" s="278"/>
      <c r="R348" s="278"/>
      <c r="S348" s="245"/>
      <c r="T348" s="245"/>
      <c r="U348" s="245"/>
      <c r="V348" s="245"/>
      <c r="W348" s="245"/>
      <c r="X348" s="269"/>
      <c r="Y348" s="269"/>
      <c r="Z348" s="269"/>
      <c r="AA348" s="245"/>
      <c r="AB348" s="245"/>
      <c r="AC348" s="245"/>
      <c r="AD348" s="245"/>
      <c r="AE348" s="245"/>
      <c r="AF348" s="245"/>
      <c r="AG348" s="245"/>
    </row>
    <row r="349" spans="2:33" ht="12.75" customHeight="1" x14ac:dyDescent="0.2">
      <c r="B349" s="251"/>
      <c r="D349" s="254"/>
      <c r="E349" s="254"/>
      <c r="F349" s="258"/>
      <c r="G349" s="259"/>
      <c r="H349" s="259"/>
      <c r="I349" s="263"/>
      <c r="J349" s="275"/>
      <c r="K349" s="267"/>
      <c r="L349" s="246"/>
      <c r="M349" s="278"/>
      <c r="N349" s="278"/>
      <c r="O349" s="278"/>
      <c r="P349" s="278"/>
      <c r="Q349" s="278"/>
      <c r="R349" s="278"/>
      <c r="S349" s="246"/>
      <c r="T349" s="246"/>
      <c r="U349" s="246"/>
      <c r="V349" s="246"/>
      <c r="W349" s="246"/>
      <c r="X349" s="270"/>
      <c r="Y349" s="270"/>
      <c r="Z349" s="270"/>
      <c r="AA349" s="246"/>
      <c r="AB349" s="246"/>
      <c r="AC349" s="246"/>
      <c r="AD349" s="246"/>
      <c r="AE349" s="246"/>
      <c r="AF349" s="246"/>
      <c r="AG349" s="246"/>
    </row>
    <row r="350" spans="2:33" ht="12.75" customHeight="1" thickBot="1" x14ac:dyDescent="0.25">
      <c r="B350" s="252"/>
      <c r="D350" s="255"/>
      <c r="E350" s="255"/>
      <c r="F350" s="260"/>
      <c r="G350" s="261"/>
      <c r="H350" s="261"/>
      <c r="I350" s="264"/>
      <c r="J350" s="276"/>
      <c r="K350" s="138" t="str">
        <f t="shared" ref="K350:O350" si="43">IF(OR(TRIM(K335)=0,TRIM(K335)=""),"",IFERROR(TRIM(INDEX(QryItemNamed,MATCH(TRIM(K335),ITEM,0),3)),""))</f>
        <v>EACH</v>
      </c>
      <c r="L350" s="102" t="str">
        <f t="shared" si="43"/>
        <v>EACH</v>
      </c>
      <c r="M350" s="102" t="str">
        <f t="shared" si="43"/>
        <v>MILE</v>
      </c>
      <c r="N350" s="102" t="str">
        <f t="shared" si="43"/>
        <v>MILE</v>
      </c>
      <c r="O350" s="102" t="str">
        <f t="shared" si="43"/>
        <v>FT</v>
      </c>
      <c r="P350" s="102" t="s">
        <v>46</v>
      </c>
      <c r="Q350" s="102" t="s">
        <v>46</v>
      </c>
      <c r="R350" s="102" t="s">
        <v>46</v>
      </c>
      <c r="S350" s="102" t="s">
        <v>46</v>
      </c>
      <c r="T350" s="102" t="s">
        <v>51</v>
      </c>
      <c r="U350" s="102" t="s">
        <v>51</v>
      </c>
      <c r="V350" s="102" t="s">
        <v>51</v>
      </c>
      <c r="W350" s="102" t="s">
        <v>46</v>
      </c>
      <c r="X350" s="102" t="s">
        <v>46</v>
      </c>
      <c r="Y350" s="102" t="s">
        <v>46</v>
      </c>
      <c r="Z350" s="102" t="s">
        <v>51</v>
      </c>
      <c r="AA350" s="102" t="s">
        <v>673</v>
      </c>
      <c r="AB350" s="102" t="s">
        <v>673</v>
      </c>
      <c r="AC350" s="102" t="s">
        <v>673</v>
      </c>
      <c r="AD350" s="102" t="s">
        <v>673</v>
      </c>
      <c r="AE350" s="102" t="s">
        <v>673</v>
      </c>
      <c r="AF350" s="102" t="s">
        <v>673</v>
      </c>
      <c r="AG350" s="102" t="s">
        <v>673</v>
      </c>
    </row>
    <row r="351" spans="2:33" ht="12.75" customHeight="1" x14ac:dyDescent="0.2">
      <c r="B351" s="22">
        <v>1</v>
      </c>
      <c r="C351" s="5">
        <f>907+18</f>
        <v>925</v>
      </c>
      <c r="D351" s="114" t="s">
        <v>275</v>
      </c>
      <c r="E351" s="114" t="s">
        <v>747</v>
      </c>
      <c r="F351" s="147">
        <v>70750</v>
      </c>
      <c r="G351" s="114"/>
      <c r="H351" s="147">
        <v>71000</v>
      </c>
      <c r="I351" s="217" t="s">
        <v>25</v>
      </c>
      <c r="J351" s="212">
        <v>4</v>
      </c>
      <c r="K351" s="139"/>
      <c r="L351" s="114"/>
      <c r="M351" s="140">
        <f>(H351-F351)/5280</f>
        <v>4.7348484848484848E-2</v>
      </c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</row>
    <row r="352" spans="2:33" ht="12.75" customHeight="1" x14ac:dyDescent="0.2">
      <c r="B352" s="22">
        <v>1</v>
      </c>
      <c r="D352" s="114" t="s">
        <v>276</v>
      </c>
      <c r="E352" s="114" t="s">
        <v>747</v>
      </c>
      <c r="F352" s="147">
        <v>71035</v>
      </c>
      <c r="G352" s="114"/>
      <c r="H352" s="147">
        <v>71055</v>
      </c>
      <c r="I352" s="217" t="s">
        <v>25</v>
      </c>
      <c r="J352" s="212">
        <v>4</v>
      </c>
      <c r="K352" s="139"/>
      <c r="L352" s="114"/>
      <c r="M352" s="140">
        <f>(11.5+16.5)/5280</f>
        <v>5.3030303030303034E-3</v>
      </c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</row>
    <row r="353" spans="2:33" ht="12.75" customHeight="1" x14ac:dyDescent="0.2">
      <c r="B353" s="22">
        <v>1</v>
      </c>
      <c r="D353" s="114" t="s">
        <v>277</v>
      </c>
      <c r="E353" s="114" t="s">
        <v>747</v>
      </c>
      <c r="F353" s="147">
        <v>71034</v>
      </c>
      <c r="G353" s="114"/>
      <c r="H353" s="147">
        <v>71124</v>
      </c>
      <c r="I353" s="217" t="s">
        <v>25</v>
      </c>
      <c r="J353" s="212">
        <v>4</v>
      </c>
      <c r="K353" s="139"/>
      <c r="L353" s="114"/>
      <c r="M353" s="140">
        <f>(H353-F353)/5280</f>
        <v>1.7045454545454544E-2</v>
      </c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</row>
    <row r="354" spans="2:33" ht="12.75" customHeight="1" x14ac:dyDescent="0.2">
      <c r="B354" s="22">
        <v>1</v>
      </c>
      <c r="D354" s="114" t="s">
        <v>278</v>
      </c>
      <c r="E354" s="114" t="s">
        <v>747</v>
      </c>
      <c r="F354" s="147">
        <v>71100</v>
      </c>
      <c r="G354" s="114"/>
      <c r="H354" s="147">
        <v>71250</v>
      </c>
      <c r="I354" s="217" t="s">
        <v>25</v>
      </c>
      <c r="J354" s="212">
        <v>4</v>
      </c>
      <c r="K354" s="139"/>
      <c r="L354" s="114"/>
      <c r="M354" s="140">
        <f>(H354-F354)/5280</f>
        <v>2.8409090909090908E-2</v>
      </c>
      <c r="N354" s="140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</row>
    <row r="355" spans="2:33" ht="12.75" customHeight="1" x14ac:dyDescent="0.2">
      <c r="B355" s="22">
        <v>1</v>
      </c>
      <c r="D355" s="114" t="s">
        <v>279</v>
      </c>
      <c r="E355" s="114" t="s">
        <v>747</v>
      </c>
      <c r="F355" s="147">
        <v>70750</v>
      </c>
      <c r="G355" s="114"/>
      <c r="H355" s="147">
        <v>71250</v>
      </c>
      <c r="I355" s="217" t="s">
        <v>24</v>
      </c>
      <c r="J355" s="212">
        <v>4</v>
      </c>
      <c r="K355" s="139"/>
      <c r="L355" s="114"/>
      <c r="M355" s="140">
        <f>(H355-F355)/5280</f>
        <v>9.4696969696969696E-2</v>
      </c>
      <c r="N355" s="140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</row>
    <row r="356" spans="2:33" ht="12.75" customHeight="1" x14ac:dyDescent="0.2">
      <c r="B356" s="22">
        <v>1</v>
      </c>
      <c r="D356" s="114" t="s">
        <v>280</v>
      </c>
      <c r="E356" s="114" t="s">
        <v>747</v>
      </c>
      <c r="F356" s="147">
        <v>71000</v>
      </c>
      <c r="G356" s="114"/>
      <c r="H356" s="156"/>
      <c r="I356" s="217" t="s">
        <v>25</v>
      </c>
      <c r="J356" s="212">
        <v>4</v>
      </c>
      <c r="K356" s="139"/>
      <c r="L356" s="114"/>
      <c r="M356" s="140">
        <f>(10+21)/5280</f>
        <v>5.8712121212121209E-3</v>
      </c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</row>
    <row r="357" spans="2:33" ht="12.75" customHeight="1" x14ac:dyDescent="0.2">
      <c r="B357" s="22">
        <v>1</v>
      </c>
      <c r="D357" s="114" t="s">
        <v>281</v>
      </c>
      <c r="E357" s="114" t="s">
        <v>747</v>
      </c>
      <c r="F357" s="156"/>
      <c r="G357" s="114"/>
      <c r="H357" s="156"/>
      <c r="I357" s="217" t="s">
        <v>25</v>
      </c>
      <c r="J357" s="212">
        <v>4</v>
      </c>
      <c r="K357" s="139"/>
      <c r="L357" s="114"/>
      <c r="M357" s="140">
        <f>11/5280</f>
        <v>2.0833333333333333E-3</v>
      </c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</row>
    <row r="358" spans="2:33" ht="12.75" customHeight="1" x14ac:dyDescent="0.2">
      <c r="B358" s="22">
        <v>1</v>
      </c>
      <c r="D358" s="114" t="s">
        <v>282</v>
      </c>
      <c r="E358" s="114" t="s">
        <v>747</v>
      </c>
      <c r="F358" s="156"/>
      <c r="G358" s="114"/>
      <c r="H358" s="147">
        <v>71124</v>
      </c>
      <c r="I358" s="217" t="s">
        <v>25</v>
      </c>
      <c r="J358" s="212">
        <v>4</v>
      </c>
      <c r="K358" s="139"/>
      <c r="L358" s="114"/>
      <c r="M358" s="140">
        <f>(11.5+32.5)/5280</f>
        <v>8.3333333333333332E-3</v>
      </c>
      <c r="N358" s="140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</row>
    <row r="359" spans="2:33" ht="12.75" customHeight="1" x14ac:dyDescent="0.2">
      <c r="B359" s="22">
        <v>1</v>
      </c>
      <c r="D359" s="114" t="s">
        <v>283</v>
      </c>
      <c r="E359" s="114" t="s">
        <v>747</v>
      </c>
      <c r="F359" s="156"/>
      <c r="G359" s="114"/>
      <c r="H359" s="156"/>
      <c r="I359" s="217" t="s">
        <v>25</v>
      </c>
      <c r="J359" s="212">
        <v>4</v>
      </c>
      <c r="K359" s="139"/>
      <c r="L359" s="114"/>
      <c r="M359" s="140">
        <f>10/5280</f>
        <v>1.893939393939394E-3</v>
      </c>
      <c r="N359" s="140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</row>
    <row r="360" spans="2:33" ht="12.75" customHeight="1" x14ac:dyDescent="0.2">
      <c r="B360" s="22">
        <v>1</v>
      </c>
      <c r="D360" s="114" t="s">
        <v>284</v>
      </c>
      <c r="E360" s="114" t="s">
        <v>747</v>
      </c>
      <c r="F360" s="147">
        <v>70750</v>
      </c>
      <c r="G360" s="114"/>
      <c r="H360" s="147">
        <v>71250</v>
      </c>
      <c r="I360" s="217" t="s">
        <v>25</v>
      </c>
      <c r="J360" s="212">
        <v>4</v>
      </c>
      <c r="K360" s="139"/>
      <c r="L360" s="114"/>
      <c r="M360" s="140"/>
      <c r="N360" s="140">
        <f>(H360-F360)/5280</f>
        <v>9.4696969696969696E-2</v>
      </c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</row>
    <row r="361" spans="2:33" ht="12.75" customHeight="1" x14ac:dyDescent="0.2">
      <c r="B361" s="22">
        <v>1</v>
      </c>
      <c r="D361" s="114" t="s">
        <v>622</v>
      </c>
      <c r="E361" s="114" t="s">
        <v>747</v>
      </c>
      <c r="F361" s="147">
        <v>70750</v>
      </c>
      <c r="G361" s="114"/>
      <c r="H361" s="147">
        <v>71250</v>
      </c>
      <c r="I361" s="217" t="s">
        <v>25</v>
      </c>
      <c r="J361" s="212">
        <v>4</v>
      </c>
      <c r="K361" s="141">
        <f>ROUNDUP((H361-F361)/80,0)</f>
        <v>7</v>
      </c>
      <c r="L361" s="114"/>
      <c r="M361" s="140"/>
      <c r="N361" s="140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</row>
    <row r="362" spans="2:33" ht="12.75" customHeight="1" x14ac:dyDescent="0.2">
      <c r="B362" s="22">
        <v>1</v>
      </c>
      <c r="D362" s="114" t="s">
        <v>285</v>
      </c>
      <c r="E362" s="114" t="s">
        <v>747</v>
      </c>
      <c r="F362" s="147">
        <v>70750</v>
      </c>
      <c r="G362" s="114"/>
      <c r="H362" s="147">
        <v>71250</v>
      </c>
      <c r="I362" s="217" t="s">
        <v>24</v>
      </c>
      <c r="J362" s="212">
        <v>4</v>
      </c>
      <c r="K362" s="139"/>
      <c r="L362" s="114"/>
      <c r="M362" s="114"/>
      <c r="N362" s="140">
        <f>(H362-F362)/5280</f>
        <v>9.4696969696969696E-2</v>
      </c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</row>
    <row r="363" spans="2:33" ht="12.75" customHeight="1" x14ac:dyDescent="0.2">
      <c r="B363" s="22">
        <v>1</v>
      </c>
      <c r="D363" s="114" t="s">
        <v>623</v>
      </c>
      <c r="E363" s="114" t="s">
        <v>747</v>
      </c>
      <c r="F363" s="147">
        <v>70750</v>
      </c>
      <c r="G363" s="114"/>
      <c r="H363" s="147">
        <v>71250</v>
      </c>
      <c r="I363" s="217" t="s">
        <v>24</v>
      </c>
      <c r="J363" s="212">
        <v>4</v>
      </c>
      <c r="K363" s="141">
        <f>ROUNDUP((H363-F363)/80,0)</f>
        <v>7</v>
      </c>
      <c r="L363" s="114"/>
      <c r="M363" s="114"/>
      <c r="N363" s="140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</row>
    <row r="364" spans="2:33" ht="12.75" customHeight="1" x14ac:dyDescent="0.2">
      <c r="B364" s="22">
        <v>1</v>
      </c>
      <c r="D364" s="114" t="s">
        <v>286</v>
      </c>
      <c r="E364" s="114" t="s">
        <v>747</v>
      </c>
      <c r="F364" s="147">
        <v>71030</v>
      </c>
      <c r="G364" s="114"/>
      <c r="H364" s="156"/>
      <c r="I364" s="217" t="s">
        <v>25</v>
      </c>
      <c r="J364" s="212">
        <v>4</v>
      </c>
      <c r="K364" s="139"/>
      <c r="L364" s="114"/>
      <c r="M364" s="140"/>
      <c r="N364" s="114"/>
      <c r="O364" s="114"/>
      <c r="P364" s="114"/>
      <c r="Q364" s="114">
        <f>21+21</f>
        <v>42</v>
      </c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</row>
    <row r="365" spans="2:33" ht="12.75" customHeight="1" x14ac:dyDescent="0.2">
      <c r="B365" s="22">
        <v>1</v>
      </c>
      <c r="D365" s="114" t="s">
        <v>287</v>
      </c>
      <c r="E365" s="114" t="s">
        <v>747</v>
      </c>
      <c r="F365" s="147">
        <v>71100</v>
      </c>
      <c r="G365" s="114"/>
      <c r="H365" s="156"/>
      <c r="I365" s="217" t="s">
        <v>25</v>
      </c>
      <c r="J365" s="212">
        <v>4</v>
      </c>
      <c r="K365" s="139"/>
      <c r="L365" s="114"/>
      <c r="M365" s="140"/>
      <c r="N365" s="114"/>
      <c r="O365" s="114"/>
      <c r="P365" s="114"/>
      <c r="Q365" s="114">
        <f>19+19</f>
        <v>38</v>
      </c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</row>
    <row r="366" spans="2:33" ht="12.75" customHeight="1" x14ac:dyDescent="0.2">
      <c r="B366" s="22"/>
      <c r="D366" s="114"/>
      <c r="E366" s="114"/>
      <c r="F366" s="147"/>
      <c r="G366" s="114"/>
      <c r="H366" s="156"/>
      <c r="I366" s="217"/>
      <c r="J366" s="212"/>
      <c r="K366" s="139"/>
      <c r="L366" s="114"/>
      <c r="M366" s="140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</row>
    <row r="367" spans="2:33" ht="12.75" customHeight="1" x14ac:dyDescent="0.2">
      <c r="B367" s="22">
        <v>1</v>
      </c>
      <c r="D367" s="114" t="s">
        <v>288</v>
      </c>
      <c r="E367" s="114" t="s">
        <v>748</v>
      </c>
      <c r="F367" s="147">
        <v>71250</v>
      </c>
      <c r="G367" s="114"/>
      <c r="H367" s="147">
        <v>71750</v>
      </c>
      <c r="I367" s="217" t="s">
        <v>25</v>
      </c>
      <c r="J367" s="212">
        <v>4</v>
      </c>
      <c r="K367" s="139"/>
      <c r="L367" s="114"/>
      <c r="M367" s="140">
        <f>(H367-F367)/5280</f>
        <v>9.4696969696969696E-2</v>
      </c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</row>
    <row r="368" spans="2:33" ht="12.75" customHeight="1" x14ac:dyDescent="0.2">
      <c r="B368" s="22">
        <v>1</v>
      </c>
      <c r="D368" s="114" t="s">
        <v>289</v>
      </c>
      <c r="E368" s="114" t="s">
        <v>748</v>
      </c>
      <c r="F368" s="147">
        <v>71250</v>
      </c>
      <c r="G368" s="114"/>
      <c r="H368" s="147">
        <v>71750</v>
      </c>
      <c r="I368" s="217" t="s">
        <v>24</v>
      </c>
      <c r="J368" s="212">
        <v>4</v>
      </c>
      <c r="K368" s="139"/>
      <c r="L368" s="114"/>
      <c r="M368" s="140">
        <f>(H368-F368)/5280</f>
        <v>9.4696969696969696E-2</v>
      </c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</row>
    <row r="369" spans="2:33" ht="12.75" customHeight="1" x14ac:dyDescent="0.2">
      <c r="B369" s="22">
        <v>1</v>
      </c>
      <c r="D369" s="114" t="s">
        <v>290</v>
      </c>
      <c r="E369" s="114" t="s">
        <v>748</v>
      </c>
      <c r="F369" s="147">
        <v>71250</v>
      </c>
      <c r="G369" s="114"/>
      <c r="H369" s="147">
        <v>71750</v>
      </c>
      <c r="I369" s="217" t="s">
        <v>25</v>
      </c>
      <c r="J369" s="212">
        <v>4</v>
      </c>
      <c r="K369" s="139"/>
      <c r="L369" s="114"/>
      <c r="M369" s="114"/>
      <c r="N369" s="140">
        <f>(H369-F369)/5280</f>
        <v>9.4696969696969696E-2</v>
      </c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</row>
    <row r="370" spans="2:33" ht="12.6" customHeight="1" x14ac:dyDescent="0.2">
      <c r="B370" s="22">
        <v>1</v>
      </c>
      <c r="D370" s="114" t="s">
        <v>624</v>
      </c>
      <c r="E370" s="114" t="s">
        <v>748</v>
      </c>
      <c r="F370" s="147">
        <v>71250</v>
      </c>
      <c r="G370" s="114"/>
      <c r="H370" s="147">
        <v>71750</v>
      </c>
      <c r="I370" s="217" t="s">
        <v>25</v>
      </c>
      <c r="J370" s="212">
        <v>4</v>
      </c>
      <c r="K370" s="141">
        <f>ROUNDUP((H370-F370)/80,0)</f>
        <v>7</v>
      </c>
      <c r="L370" s="114"/>
      <c r="M370" s="114"/>
      <c r="N370" s="140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</row>
    <row r="371" spans="2:33" ht="12.6" customHeight="1" x14ac:dyDescent="0.2">
      <c r="B371" s="22">
        <v>1</v>
      </c>
      <c r="D371" s="114" t="s">
        <v>291</v>
      </c>
      <c r="E371" s="114" t="s">
        <v>748</v>
      </c>
      <c r="F371" s="147">
        <v>71250</v>
      </c>
      <c r="G371" s="114"/>
      <c r="H371" s="147">
        <v>71750</v>
      </c>
      <c r="I371" s="217" t="s">
        <v>25</v>
      </c>
      <c r="J371" s="212">
        <v>4</v>
      </c>
      <c r="K371" s="139"/>
      <c r="L371" s="114"/>
      <c r="M371" s="114"/>
      <c r="N371" s="140">
        <f>(H371-F371)/5280</f>
        <v>9.4696969696969696E-2</v>
      </c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</row>
    <row r="372" spans="2:33" ht="12.75" customHeight="1" x14ac:dyDescent="0.2">
      <c r="B372" s="22">
        <v>1</v>
      </c>
      <c r="D372" s="114" t="s">
        <v>625</v>
      </c>
      <c r="E372" s="114" t="s">
        <v>748</v>
      </c>
      <c r="F372" s="147">
        <v>71250</v>
      </c>
      <c r="G372" s="114"/>
      <c r="H372" s="147">
        <v>71750</v>
      </c>
      <c r="I372" s="217" t="s">
        <v>25</v>
      </c>
      <c r="J372" s="212">
        <v>4</v>
      </c>
      <c r="K372" s="141">
        <f>ROUNDUP((H372-F372)/80,0)</f>
        <v>7</v>
      </c>
      <c r="L372" s="114"/>
      <c r="M372" s="114"/>
      <c r="N372" s="140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</row>
    <row r="373" spans="2:33" ht="12.75" customHeight="1" x14ac:dyDescent="0.2">
      <c r="B373" s="22"/>
      <c r="D373" s="114"/>
      <c r="E373" s="114"/>
      <c r="F373" s="147"/>
      <c r="G373" s="114"/>
      <c r="H373" s="147"/>
      <c r="I373" s="217"/>
      <c r="J373" s="212"/>
      <c r="K373" s="141"/>
      <c r="L373" s="114"/>
      <c r="M373" s="114"/>
      <c r="N373" s="140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</row>
    <row r="374" spans="2:33" ht="12.75" customHeight="1" x14ac:dyDescent="0.2">
      <c r="B374" s="22">
        <v>1</v>
      </c>
      <c r="D374" s="114" t="s">
        <v>292</v>
      </c>
      <c r="E374" s="114" t="s">
        <v>749</v>
      </c>
      <c r="F374" s="147">
        <v>71750</v>
      </c>
      <c r="G374" s="114"/>
      <c r="H374" s="147">
        <v>72300</v>
      </c>
      <c r="I374" s="217" t="s">
        <v>25</v>
      </c>
      <c r="J374" s="212">
        <v>4</v>
      </c>
      <c r="K374" s="139"/>
      <c r="L374" s="114"/>
      <c r="M374" s="140">
        <f>(H374-F374)/5280</f>
        <v>0.10416666666666667</v>
      </c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</row>
    <row r="375" spans="2:33" ht="12.75" customHeight="1" x14ac:dyDescent="0.2">
      <c r="B375" s="22">
        <v>1</v>
      </c>
      <c r="D375" s="114" t="s">
        <v>293</v>
      </c>
      <c r="E375" s="114" t="s">
        <v>749</v>
      </c>
      <c r="F375" s="147">
        <v>71750</v>
      </c>
      <c r="G375" s="114"/>
      <c r="H375" s="147">
        <v>72300</v>
      </c>
      <c r="I375" s="217" t="s">
        <v>24</v>
      </c>
      <c r="J375" s="212">
        <v>4</v>
      </c>
      <c r="K375" s="139"/>
      <c r="L375" s="114"/>
      <c r="M375" s="140">
        <f>(H375-F375)/5280</f>
        <v>0.10416666666666667</v>
      </c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</row>
    <row r="376" spans="2:33" ht="12.6" customHeight="1" x14ac:dyDescent="0.2">
      <c r="B376" s="22">
        <v>1</v>
      </c>
      <c r="D376" s="114" t="s">
        <v>294</v>
      </c>
      <c r="E376" s="114" t="s">
        <v>749</v>
      </c>
      <c r="F376" s="147">
        <v>71750</v>
      </c>
      <c r="G376" s="114"/>
      <c r="H376" s="147">
        <v>72300</v>
      </c>
      <c r="I376" s="217" t="s">
        <v>25</v>
      </c>
      <c r="J376" s="212">
        <v>4</v>
      </c>
      <c r="K376" s="139"/>
      <c r="L376" s="114"/>
      <c r="M376" s="114"/>
      <c r="N376" s="140">
        <f>(H376-F376)/5280</f>
        <v>0.10416666666666667</v>
      </c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</row>
    <row r="377" spans="2:33" ht="12.6" customHeight="1" x14ac:dyDescent="0.2">
      <c r="B377" s="22">
        <v>1</v>
      </c>
      <c r="D377" s="114" t="s">
        <v>626</v>
      </c>
      <c r="E377" s="114" t="s">
        <v>749</v>
      </c>
      <c r="F377" s="147">
        <v>71750</v>
      </c>
      <c r="G377" s="114"/>
      <c r="H377" s="147">
        <v>72300</v>
      </c>
      <c r="I377" s="217" t="s">
        <v>25</v>
      </c>
      <c r="J377" s="212">
        <v>4</v>
      </c>
      <c r="K377" s="141">
        <f>ROUNDUP((H377-F377)/80,0)</f>
        <v>7</v>
      </c>
      <c r="L377" s="114"/>
      <c r="M377" s="114"/>
      <c r="N377" s="140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  <c r="AG377" s="114"/>
    </row>
    <row r="378" spans="2:33" ht="12.75" customHeight="1" x14ac:dyDescent="0.2">
      <c r="B378" s="22">
        <v>1</v>
      </c>
      <c r="D378" s="114" t="s">
        <v>295</v>
      </c>
      <c r="E378" s="114" t="s">
        <v>749</v>
      </c>
      <c r="F378" s="147">
        <v>71750</v>
      </c>
      <c r="G378" s="114"/>
      <c r="H378" s="147">
        <v>71891</v>
      </c>
      <c r="I378" s="217"/>
      <c r="J378" s="212">
        <v>4</v>
      </c>
      <c r="K378" s="139"/>
      <c r="L378" s="114"/>
      <c r="M378" s="114"/>
      <c r="N378" s="140">
        <f>(H378-F378)/5280</f>
        <v>2.6704545454545453E-2</v>
      </c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  <c r="AG378" s="114"/>
    </row>
    <row r="379" spans="2:33" ht="12.75" customHeight="1" x14ac:dyDescent="0.2">
      <c r="B379" s="22">
        <v>1</v>
      </c>
      <c r="D379" s="114" t="s">
        <v>627</v>
      </c>
      <c r="E379" s="114" t="s">
        <v>749</v>
      </c>
      <c r="F379" s="147">
        <v>71750</v>
      </c>
      <c r="G379" s="114"/>
      <c r="H379" s="147">
        <v>71891</v>
      </c>
      <c r="I379" s="217"/>
      <c r="J379" s="212">
        <v>4</v>
      </c>
      <c r="K379" s="141">
        <f>ROUNDUP((H379-F379)/80,0)</f>
        <v>2</v>
      </c>
      <c r="L379" s="114"/>
      <c r="M379" s="114"/>
      <c r="N379" s="140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</row>
    <row r="380" spans="2:33" ht="12.75" customHeight="1" x14ac:dyDescent="0.2">
      <c r="B380" s="22"/>
      <c r="D380" s="114"/>
      <c r="E380" s="114"/>
      <c r="F380" s="147"/>
      <c r="G380" s="114"/>
      <c r="H380" s="147"/>
      <c r="I380" s="217"/>
      <c r="J380" s="212"/>
      <c r="K380" s="141"/>
      <c r="L380" s="114"/>
      <c r="M380" s="114"/>
      <c r="N380" s="140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</row>
    <row r="381" spans="2:33" ht="12.75" customHeight="1" x14ac:dyDescent="0.2">
      <c r="B381" s="22">
        <v>1</v>
      </c>
      <c r="D381" s="114" t="s">
        <v>296</v>
      </c>
      <c r="E381" s="114" t="s">
        <v>750</v>
      </c>
      <c r="F381" s="147">
        <v>72300</v>
      </c>
      <c r="G381" s="114"/>
      <c r="H381" s="147">
        <v>72861</v>
      </c>
      <c r="I381" s="217" t="s">
        <v>25</v>
      </c>
      <c r="J381" s="212">
        <v>4</v>
      </c>
      <c r="K381" s="139"/>
      <c r="L381" s="114"/>
      <c r="M381" s="140">
        <f>(H381-F381)/5280</f>
        <v>0.10625</v>
      </c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</row>
    <row r="382" spans="2:33" ht="12.75" customHeight="1" x14ac:dyDescent="0.2">
      <c r="B382" s="22">
        <v>1</v>
      </c>
      <c r="D382" s="114" t="s">
        <v>297</v>
      </c>
      <c r="E382" s="114" t="s">
        <v>750</v>
      </c>
      <c r="F382" s="147">
        <v>72300</v>
      </c>
      <c r="G382" s="114"/>
      <c r="H382" s="147">
        <v>72861</v>
      </c>
      <c r="I382" s="217" t="s">
        <v>24</v>
      </c>
      <c r="J382" s="212">
        <v>4</v>
      </c>
      <c r="K382" s="139"/>
      <c r="L382" s="114"/>
      <c r="M382" s="140">
        <f>(H382-F382)/5280</f>
        <v>0.10625</v>
      </c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</row>
    <row r="383" spans="2:33" ht="12.75" customHeight="1" x14ac:dyDescent="0.2">
      <c r="B383" s="22">
        <v>1</v>
      </c>
      <c r="D383" s="114" t="s">
        <v>298</v>
      </c>
      <c r="E383" s="114" t="s">
        <v>750</v>
      </c>
      <c r="F383" s="147">
        <v>72300</v>
      </c>
      <c r="G383" s="114"/>
      <c r="H383" s="147">
        <v>72861</v>
      </c>
      <c r="I383" s="217" t="s">
        <v>61</v>
      </c>
      <c r="J383" s="212">
        <v>4</v>
      </c>
      <c r="K383" s="139"/>
      <c r="L383" s="114"/>
      <c r="M383" s="114"/>
      <c r="N383" s="140">
        <f>(H383-F383)/5280</f>
        <v>0.10625</v>
      </c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</row>
    <row r="384" spans="2:33" ht="12.75" customHeight="1" x14ac:dyDescent="0.2">
      <c r="B384" s="22">
        <v>1</v>
      </c>
      <c r="D384" s="114" t="s">
        <v>628</v>
      </c>
      <c r="E384" s="114" t="s">
        <v>750</v>
      </c>
      <c r="F384" s="147">
        <v>72300</v>
      </c>
      <c r="G384" s="114"/>
      <c r="H384" s="147">
        <v>72861</v>
      </c>
      <c r="I384" s="217" t="s">
        <v>61</v>
      </c>
      <c r="J384" s="212">
        <v>4</v>
      </c>
      <c r="K384" s="141">
        <f>ROUNDUP((H384-F384)/80,0)</f>
        <v>8</v>
      </c>
      <c r="L384" s="114"/>
      <c r="M384" s="114"/>
      <c r="N384" s="140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</row>
    <row r="385" spans="2:33" ht="12.75" customHeight="1" x14ac:dyDescent="0.2">
      <c r="B385" s="22"/>
      <c r="D385" s="114"/>
      <c r="E385" s="114"/>
      <c r="F385" s="147"/>
      <c r="G385" s="114"/>
      <c r="H385" s="147"/>
      <c r="I385" s="217"/>
      <c r="J385" s="212"/>
      <c r="K385" s="141"/>
      <c r="L385" s="114"/>
      <c r="M385" s="114"/>
      <c r="N385" s="140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</row>
    <row r="386" spans="2:33" ht="12.75" customHeight="1" x14ac:dyDescent="0.2">
      <c r="B386" s="22">
        <v>1</v>
      </c>
      <c r="D386" s="114" t="s">
        <v>299</v>
      </c>
      <c r="E386" s="114" t="s">
        <v>751</v>
      </c>
      <c r="F386" s="147">
        <v>172609</v>
      </c>
      <c r="G386" s="114"/>
      <c r="H386" s="147">
        <v>172800</v>
      </c>
      <c r="I386" s="217" t="s">
        <v>25</v>
      </c>
      <c r="J386" s="212">
        <v>1</v>
      </c>
      <c r="K386" s="139"/>
      <c r="L386" s="114"/>
      <c r="M386" s="140">
        <f>(H386-F386)/5280</f>
        <v>3.6174242424242421E-2</v>
      </c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</row>
    <row r="387" spans="2:33" ht="12.75" customHeight="1" x14ac:dyDescent="0.2">
      <c r="B387" s="22">
        <v>1</v>
      </c>
      <c r="D387" s="114" t="s">
        <v>300</v>
      </c>
      <c r="E387" s="114" t="s">
        <v>751</v>
      </c>
      <c r="F387" s="147">
        <v>172609</v>
      </c>
      <c r="G387" s="114"/>
      <c r="H387" s="147">
        <v>172800</v>
      </c>
      <c r="I387" s="217" t="s">
        <v>24</v>
      </c>
      <c r="J387" s="212">
        <v>1</v>
      </c>
      <c r="K387" s="139"/>
      <c r="L387" s="114"/>
      <c r="M387" s="140">
        <f>(H387-F387)/5280</f>
        <v>3.6174242424242421E-2</v>
      </c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</row>
    <row r="388" spans="2:33" ht="12.75" customHeight="1" x14ac:dyDescent="0.2">
      <c r="B388" s="22">
        <v>1</v>
      </c>
      <c r="D388" s="114" t="s">
        <v>301</v>
      </c>
      <c r="E388" s="114" t="s">
        <v>751</v>
      </c>
      <c r="F388" s="147">
        <v>172609</v>
      </c>
      <c r="G388" s="114"/>
      <c r="H388" s="147">
        <v>172800</v>
      </c>
      <c r="I388" s="217" t="s">
        <v>35</v>
      </c>
      <c r="J388" s="212">
        <v>1</v>
      </c>
      <c r="K388" s="139"/>
      <c r="L388" s="114"/>
      <c r="M388" s="114"/>
      <c r="N388" s="140">
        <f>(H388-F388)/5280</f>
        <v>3.6174242424242421E-2</v>
      </c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</row>
    <row r="389" spans="2:33" ht="12.75" customHeight="1" x14ac:dyDescent="0.2">
      <c r="B389" s="22">
        <v>1</v>
      </c>
      <c r="D389" s="114" t="s">
        <v>629</v>
      </c>
      <c r="E389" s="114" t="s">
        <v>751</v>
      </c>
      <c r="F389" s="147">
        <v>172609</v>
      </c>
      <c r="G389" s="114"/>
      <c r="H389" s="147">
        <v>172800</v>
      </c>
      <c r="I389" s="217" t="s">
        <v>35</v>
      </c>
      <c r="J389" s="212">
        <v>1</v>
      </c>
      <c r="K389" s="141">
        <f>ROUNDUP((H389-F389)/80,0)</f>
        <v>3</v>
      </c>
      <c r="L389" s="114"/>
      <c r="M389" s="114"/>
      <c r="N389" s="140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</row>
    <row r="390" spans="2:33" ht="12.75" customHeight="1" x14ac:dyDescent="0.2">
      <c r="B390" s="22"/>
      <c r="D390" s="114"/>
      <c r="E390" s="114"/>
      <c r="F390" s="147"/>
      <c r="G390" s="114"/>
      <c r="H390" s="147"/>
      <c r="I390" s="217"/>
      <c r="J390" s="212"/>
      <c r="K390" s="141"/>
      <c r="L390" s="114"/>
      <c r="M390" s="114"/>
      <c r="N390" s="140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</row>
    <row r="391" spans="2:33" ht="12.75" customHeight="1" x14ac:dyDescent="0.2">
      <c r="B391" s="22">
        <v>1</v>
      </c>
      <c r="D391" s="114" t="s">
        <v>302</v>
      </c>
      <c r="E391" s="114" t="s">
        <v>752</v>
      </c>
      <c r="F391" s="147">
        <v>172800</v>
      </c>
      <c r="G391" s="114"/>
      <c r="H391" s="147">
        <v>173300</v>
      </c>
      <c r="I391" s="217" t="s">
        <v>25</v>
      </c>
      <c r="J391" s="212">
        <v>1</v>
      </c>
      <c r="K391" s="139"/>
      <c r="L391" s="114"/>
      <c r="M391" s="140">
        <f>(H391-F391)/5280</f>
        <v>9.4696969696969696E-2</v>
      </c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  <c r="AG391" s="114"/>
    </row>
    <row r="392" spans="2:33" ht="12.75" customHeight="1" x14ac:dyDescent="0.2">
      <c r="B392" s="22">
        <v>1</v>
      </c>
      <c r="D392" s="114" t="s">
        <v>303</v>
      </c>
      <c r="E392" s="114" t="s">
        <v>752</v>
      </c>
      <c r="F392" s="147">
        <v>172800</v>
      </c>
      <c r="G392" s="114"/>
      <c r="H392" s="147">
        <v>173300</v>
      </c>
      <c r="I392" s="217" t="s">
        <v>24</v>
      </c>
      <c r="J392" s="212">
        <v>1</v>
      </c>
      <c r="K392" s="139"/>
      <c r="L392" s="114"/>
      <c r="M392" s="140">
        <f>(H392-F392)/5280</f>
        <v>9.4696969696969696E-2</v>
      </c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  <c r="AG392" s="114"/>
    </row>
    <row r="393" spans="2:33" ht="12.75" customHeight="1" x14ac:dyDescent="0.2">
      <c r="B393" s="22">
        <v>1</v>
      </c>
      <c r="D393" s="114" t="s">
        <v>304</v>
      </c>
      <c r="E393" s="114" t="s">
        <v>752</v>
      </c>
      <c r="F393" s="147">
        <v>172800</v>
      </c>
      <c r="G393" s="114"/>
      <c r="H393" s="147">
        <v>173300</v>
      </c>
      <c r="I393" s="217" t="s">
        <v>35</v>
      </c>
      <c r="J393" s="212">
        <v>1</v>
      </c>
      <c r="K393" s="139"/>
      <c r="L393" s="114"/>
      <c r="M393" s="114"/>
      <c r="N393" s="140">
        <f>(H393-F393)/5280</f>
        <v>9.4696969696969696E-2</v>
      </c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  <c r="AG393" s="114"/>
    </row>
    <row r="394" spans="2:33" ht="12.75" customHeight="1" x14ac:dyDescent="0.2">
      <c r="B394" s="22">
        <v>1</v>
      </c>
      <c r="D394" s="114" t="s">
        <v>630</v>
      </c>
      <c r="E394" s="114" t="s">
        <v>752</v>
      </c>
      <c r="F394" s="147">
        <v>172800</v>
      </c>
      <c r="G394" s="114"/>
      <c r="H394" s="147">
        <v>173300</v>
      </c>
      <c r="I394" s="217" t="s">
        <v>35</v>
      </c>
      <c r="J394" s="212">
        <v>1</v>
      </c>
      <c r="K394" s="141">
        <f>ROUNDUP((H394-F395)/80+(H395-F395)/20,0)</f>
        <v>6</v>
      </c>
      <c r="L394" s="114"/>
      <c r="M394" s="114"/>
      <c r="N394" s="140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  <c r="AG394" s="114"/>
    </row>
    <row r="395" spans="2:33" ht="12.75" customHeight="1" x14ac:dyDescent="0.2">
      <c r="B395" s="22">
        <v>1</v>
      </c>
      <c r="D395" s="114" t="s">
        <v>305</v>
      </c>
      <c r="E395" s="114" t="s">
        <v>752</v>
      </c>
      <c r="F395" s="147">
        <v>173208</v>
      </c>
      <c r="G395" s="114"/>
      <c r="H395" s="147">
        <v>173300</v>
      </c>
      <c r="I395" s="217" t="s">
        <v>35</v>
      </c>
      <c r="J395" s="212">
        <v>1</v>
      </c>
      <c r="K395" s="139"/>
      <c r="L395" s="114"/>
      <c r="M395" s="114"/>
      <c r="N395" s="140">
        <f>(H395-F395)/5280</f>
        <v>1.7424242424242425E-2</v>
      </c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  <c r="AG395" s="114"/>
    </row>
    <row r="396" spans="2:33" ht="12.75" customHeight="1" x14ac:dyDescent="0.2">
      <c r="B396" s="22">
        <v>1</v>
      </c>
      <c r="D396" s="114" t="s">
        <v>631</v>
      </c>
      <c r="E396" s="114" t="s">
        <v>752</v>
      </c>
      <c r="F396" s="147">
        <v>173208</v>
      </c>
      <c r="G396" s="114"/>
      <c r="H396" s="147">
        <v>173300</v>
      </c>
      <c r="I396" s="217" t="s">
        <v>35</v>
      </c>
      <c r="J396" s="212">
        <v>1</v>
      </c>
      <c r="K396" s="141">
        <f>ROUNDUP((H396-F396)/20,0)</f>
        <v>5</v>
      </c>
      <c r="L396" s="114"/>
      <c r="M396" s="114"/>
      <c r="N396" s="140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</row>
    <row r="397" spans="2:33" ht="12.75" customHeight="1" x14ac:dyDescent="0.2">
      <c r="B397" s="22"/>
      <c r="D397" s="114"/>
      <c r="E397" s="114"/>
      <c r="F397" s="147"/>
      <c r="G397" s="114"/>
      <c r="H397" s="147"/>
      <c r="I397" s="217"/>
      <c r="J397" s="212"/>
      <c r="K397" s="141"/>
      <c r="L397" s="114"/>
      <c r="M397" s="114"/>
      <c r="N397" s="140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</row>
    <row r="398" spans="2:33" ht="12.75" customHeight="1" x14ac:dyDescent="0.2">
      <c r="B398" s="22">
        <v>1</v>
      </c>
      <c r="D398" s="114" t="s">
        <v>306</v>
      </c>
      <c r="E398" s="114" t="s">
        <v>753</v>
      </c>
      <c r="F398" s="147">
        <v>173300</v>
      </c>
      <c r="G398" s="114"/>
      <c r="H398" s="147">
        <v>173335</v>
      </c>
      <c r="I398" s="217" t="s">
        <v>24</v>
      </c>
      <c r="J398" s="212">
        <v>1</v>
      </c>
      <c r="K398" s="139"/>
      <c r="L398" s="114"/>
      <c r="M398" s="140">
        <f>(H398-F398)/5280</f>
        <v>6.628787878787879E-3</v>
      </c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  <c r="AG398" s="114"/>
    </row>
    <row r="399" spans="2:33" ht="12.75" customHeight="1" x14ac:dyDescent="0.2">
      <c r="B399" s="22">
        <v>1</v>
      </c>
      <c r="D399" s="114" t="s">
        <v>313</v>
      </c>
      <c r="E399" s="114" t="s">
        <v>753</v>
      </c>
      <c r="F399" s="147">
        <v>173365</v>
      </c>
      <c r="G399" s="114"/>
      <c r="H399" s="147">
        <v>173566</v>
      </c>
      <c r="I399" s="217" t="s">
        <v>25</v>
      </c>
      <c r="J399" s="212">
        <v>1</v>
      </c>
      <c r="K399" s="139"/>
      <c r="L399" s="114"/>
      <c r="M399" s="140">
        <f>(H399-F399)/5280</f>
        <v>3.806818181818182E-2</v>
      </c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  <c r="AG399" s="114"/>
    </row>
    <row r="400" spans="2:33" ht="12.75" customHeight="1" x14ac:dyDescent="0.2">
      <c r="B400" s="22">
        <v>1</v>
      </c>
      <c r="D400" s="114" t="s">
        <v>634</v>
      </c>
      <c r="E400" s="114" t="s">
        <v>753</v>
      </c>
      <c r="F400" s="147">
        <v>173365</v>
      </c>
      <c r="G400" s="114"/>
      <c r="H400" s="147">
        <v>173566</v>
      </c>
      <c r="I400" s="217" t="s">
        <v>25</v>
      </c>
      <c r="J400" s="212">
        <v>1</v>
      </c>
      <c r="K400" s="141">
        <f>ROUNDUP((H400-F400)/40,0)</f>
        <v>6</v>
      </c>
      <c r="L400" s="114"/>
      <c r="M400" s="140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  <c r="AG400" s="114"/>
    </row>
    <row r="401" spans="2:33" ht="12.75" customHeight="1" x14ac:dyDescent="0.2">
      <c r="B401" s="22">
        <v>1</v>
      </c>
      <c r="D401" s="114" t="s">
        <v>314</v>
      </c>
      <c r="E401" s="114" t="s">
        <v>753</v>
      </c>
      <c r="F401" s="147">
        <v>173365</v>
      </c>
      <c r="G401" s="114"/>
      <c r="H401" s="147">
        <v>173578</v>
      </c>
      <c r="I401" s="217" t="s">
        <v>24</v>
      </c>
      <c r="J401" s="212">
        <v>1</v>
      </c>
      <c r="K401" s="139"/>
      <c r="L401" s="114"/>
      <c r="M401" s="140">
        <f>(H401-F401)/5280</f>
        <v>4.0340909090909094E-2</v>
      </c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  <c r="AG401" s="114"/>
    </row>
    <row r="402" spans="2:33" ht="12.75" customHeight="1" x14ac:dyDescent="0.2">
      <c r="B402" s="22">
        <v>1</v>
      </c>
      <c r="D402" s="114" t="s">
        <v>635</v>
      </c>
      <c r="E402" s="114" t="s">
        <v>753</v>
      </c>
      <c r="F402" s="147">
        <v>173365</v>
      </c>
      <c r="G402" s="114"/>
      <c r="H402" s="147">
        <v>173578</v>
      </c>
      <c r="I402" s="217" t="s">
        <v>24</v>
      </c>
      <c r="J402" s="212">
        <v>1</v>
      </c>
      <c r="K402" s="141">
        <f>ROUNDUP((H402-F402)/40,0)</f>
        <v>6</v>
      </c>
      <c r="L402" s="114"/>
      <c r="M402" s="140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  <c r="AG402" s="114"/>
    </row>
    <row r="403" spans="2:33" ht="12.75" customHeight="1" x14ac:dyDescent="0.2">
      <c r="B403" s="22">
        <v>1</v>
      </c>
      <c r="D403" s="114" t="s">
        <v>307</v>
      </c>
      <c r="E403" s="114" t="s">
        <v>753</v>
      </c>
      <c r="F403" s="147">
        <v>173455</v>
      </c>
      <c r="G403" s="114"/>
      <c r="H403" s="147">
        <v>173589</v>
      </c>
      <c r="I403" s="217" t="s">
        <v>24</v>
      </c>
      <c r="J403" s="212">
        <v>1</v>
      </c>
      <c r="K403" s="139"/>
      <c r="L403" s="114"/>
      <c r="M403" s="114">
        <f>(27.5+41+63.5)/5280</f>
        <v>2.5000000000000001E-2</v>
      </c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  <c r="AG403" s="114"/>
    </row>
    <row r="404" spans="2:33" ht="12.75" customHeight="1" x14ac:dyDescent="0.2">
      <c r="B404" s="22">
        <v>1</v>
      </c>
      <c r="D404" s="114" t="s">
        <v>638</v>
      </c>
      <c r="E404" s="114" t="s">
        <v>753</v>
      </c>
      <c r="F404" s="147">
        <v>173455</v>
      </c>
      <c r="G404" s="114"/>
      <c r="H404" s="147">
        <v>173589</v>
      </c>
      <c r="I404" s="217" t="s">
        <v>24</v>
      </c>
      <c r="J404" s="212">
        <v>1</v>
      </c>
      <c r="K404" s="141">
        <f>ROUNDUP((H404-F404)/40,0)</f>
        <v>4</v>
      </c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  <c r="AG404" s="114"/>
    </row>
    <row r="405" spans="2:33" ht="12.75" customHeight="1" x14ac:dyDescent="0.2">
      <c r="B405" s="22">
        <v>1</v>
      </c>
      <c r="D405" s="114" t="s">
        <v>308</v>
      </c>
      <c r="E405" s="114" t="s">
        <v>753</v>
      </c>
      <c r="F405" s="147">
        <v>173455</v>
      </c>
      <c r="G405" s="114"/>
      <c r="H405" s="147">
        <v>173589</v>
      </c>
      <c r="I405" s="217" t="s">
        <v>24</v>
      </c>
      <c r="J405" s="212">
        <v>1</v>
      </c>
      <c r="K405" s="139"/>
      <c r="L405" s="114"/>
      <c r="M405" s="140">
        <f>(34+18+24+49)/5280</f>
        <v>2.3674242424242424E-2</v>
      </c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  <c r="AG405" s="114"/>
    </row>
    <row r="406" spans="2:33" ht="12.75" customHeight="1" x14ac:dyDescent="0.2">
      <c r="B406" s="22">
        <v>1</v>
      </c>
      <c r="D406" s="114" t="s">
        <v>639</v>
      </c>
      <c r="E406" s="114" t="s">
        <v>753</v>
      </c>
      <c r="F406" s="147">
        <v>173455</v>
      </c>
      <c r="G406" s="114"/>
      <c r="H406" s="147">
        <v>173589</v>
      </c>
      <c r="I406" s="217" t="s">
        <v>24</v>
      </c>
      <c r="J406" s="212">
        <v>1</v>
      </c>
      <c r="K406" s="141">
        <f>ROUNDUP((H406-F406)/40,0)</f>
        <v>4</v>
      </c>
      <c r="L406" s="114"/>
      <c r="M406" s="140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  <c r="AG406" s="114"/>
    </row>
    <row r="407" spans="2:33" ht="12.75" customHeight="1" x14ac:dyDescent="0.2">
      <c r="B407" s="22">
        <v>1</v>
      </c>
      <c r="D407" s="114" t="s">
        <v>309</v>
      </c>
      <c r="E407" s="114" t="s">
        <v>753</v>
      </c>
      <c r="F407" s="147">
        <v>173566</v>
      </c>
      <c r="G407" s="114"/>
      <c r="H407" s="147">
        <v>173578</v>
      </c>
      <c r="I407" s="217" t="s">
        <v>62</v>
      </c>
      <c r="J407" s="212">
        <v>1</v>
      </c>
      <c r="K407" s="139"/>
      <c r="L407" s="114"/>
      <c r="M407" s="140">
        <f>(16+16.5+19.5+19)/5280</f>
        <v>1.3446969696969697E-2</v>
      </c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  <c r="AG407" s="114"/>
    </row>
    <row r="408" spans="2:33" ht="12.75" customHeight="1" x14ac:dyDescent="0.2">
      <c r="B408" s="22">
        <v>1</v>
      </c>
      <c r="D408" s="114" t="s">
        <v>640</v>
      </c>
      <c r="E408" s="114" t="s">
        <v>753</v>
      </c>
      <c r="F408" s="147">
        <v>173566</v>
      </c>
      <c r="G408" s="114"/>
      <c r="H408" s="147">
        <v>173578</v>
      </c>
      <c r="I408" s="217" t="s">
        <v>62</v>
      </c>
      <c r="J408" s="212">
        <v>1</v>
      </c>
      <c r="K408" s="139">
        <v>2</v>
      </c>
      <c r="L408" s="114"/>
      <c r="M408" s="140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  <c r="AG408" s="114"/>
    </row>
    <row r="409" spans="2:33" ht="12.75" customHeight="1" x14ac:dyDescent="0.2">
      <c r="B409" s="22"/>
      <c r="D409" s="114"/>
      <c r="E409" s="114"/>
      <c r="F409" s="147"/>
      <c r="G409" s="114"/>
      <c r="H409" s="147"/>
      <c r="I409" s="217"/>
      <c r="J409" s="212"/>
      <c r="K409" s="139"/>
      <c r="L409" s="114"/>
      <c r="M409" s="140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  <c r="AG409" s="114"/>
    </row>
    <row r="410" spans="2:33" ht="12.75" customHeight="1" thickBot="1" x14ac:dyDescent="0.25">
      <c r="B410" s="22"/>
      <c r="D410" s="114"/>
      <c r="E410" s="114"/>
      <c r="F410" s="146"/>
      <c r="G410" s="114"/>
      <c r="H410" s="147"/>
      <c r="I410" s="217"/>
      <c r="J410" s="213"/>
      <c r="K410" s="139"/>
      <c r="L410" s="114"/>
      <c r="M410" s="114"/>
      <c r="N410" s="140"/>
      <c r="O410" s="110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  <c r="AG410" s="114"/>
    </row>
    <row r="411" spans="2:33" ht="12.75" customHeight="1" x14ac:dyDescent="0.2">
      <c r="B411" s="5" t="s">
        <v>11</v>
      </c>
      <c r="D411" s="271" t="s">
        <v>767</v>
      </c>
      <c r="E411" s="272"/>
      <c r="F411" s="272"/>
      <c r="G411" s="272"/>
      <c r="H411" s="272"/>
      <c r="I411" s="272"/>
      <c r="J411" s="272"/>
      <c r="K411" s="173">
        <f>SUM(K351:K410)</f>
        <v>81</v>
      </c>
      <c r="L411" s="173">
        <f t="shared" ref="L411" si="44">SUM(L351:L410)</f>
        <v>0</v>
      </c>
      <c r="M411" s="173">
        <f t="shared" ref="M411" si="45">SUM(M351:M410)</f>
        <v>1.230113636363636</v>
      </c>
      <c r="N411" s="173">
        <f t="shared" ref="N411" si="46">SUM(N351:N410)</f>
        <v>0.76420454545454541</v>
      </c>
      <c r="O411" s="173">
        <f t="shared" ref="O411" si="47">SUM(O351:O410)</f>
        <v>0</v>
      </c>
      <c r="P411" s="173">
        <f t="shared" ref="P411" si="48">SUM(P351:P410)</f>
        <v>0</v>
      </c>
      <c r="Q411" s="173">
        <f t="shared" ref="Q411" si="49">SUM(Q351:Q410)</f>
        <v>80</v>
      </c>
      <c r="R411" s="173">
        <f t="shared" ref="R411" si="50">SUM(R351:R410)</f>
        <v>0</v>
      </c>
      <c r="S411" s="173">
        <f t="shared" ref="S411" si="51">SUM(S351:S410)</f>
        <v>0</v>
      </c>
      <c r="T411" s="173">
        <f t="shared" ref="T411" si="52">SUM(T351:T410)</f>
        <v>0</v>
      </c>
      <c r="U411" s="173">
        <f t="shared" ref="U411" si="53">SUM(U351:U410)</f>
        <v>0</v>
      </c>
      <c r="V411" s="173">
        <f t="shared" ref="V411" si="54">SUM(V351:V410)</f>
        <v>0</v>
      </c>
      <c r="W411" s="173">
        <f t="shared" ref="W411" si="55">SUM(W351:W410)</f>
        <v>0</v>
      </c>
      <c r="X411" s="173">
        <f t="shared" ref="X411" si="56">SUM(X351:X410)</f>
        <v>0</v>
      </c>
      <c r="Y411" s="173">
        <f t="shared" ref="Y411" si="57">SUM(Y351:Y410)</f>
        <v>0</v>
      </c>
      <c r="Z411" s="173">
        <f t="shared" ref="Z411" si="58">SUM(Z351:Z410)</f>
        <v>0</v>
      </c>
      <c r="AA411" s="173">
        <f t="shared" ref="AA411" si="59">SUM(AA351:AA410)</f>
        <v>0</v>
      </c>
      <c r="AB411" s="173">
        <f t="shared" ref="AB411" si="60">SUM(AB351:AB410)</f>
        <v>0</v>
      </c>
      <c r="AC411" s="173">
        <f t="shared" ref="AC411" si="61">SUM(AC351:AC410)</f>
        <v>0</v>
      </c>
      <c r="AD411" s="173">
        <f t="shared" ref="AD411" si="62">SUM(AD351:AD410)</f>
        <v>0</v>
      </c>
      <c r="AE411" s="173">
        <f t="shared" ref="AE411" si="63">SUM(AE351:AE410)</f>
        <v>0</v>
      </c>
      <c r="AF411" s="173">
        <f t="shared" ref="AF411" si="64">SUM(AF351:AF410)</f>
        <v>0</v>
      </c>
      <c r="AG411" s="173">
        <f t="shared" ref="AG411" si="65">SUM(AG351:AG410)</f>
        <v>0</v>
      </c>
    </row>
    <row r="412" spans="2:33" ht="12.75" customHeight="1" x14ac:dyDescent="0.2">
      <c r="D412" s="191" t="s">
        <v>701</v>
      </c>
      <c r="E412" s="192"/>
      <c r="F412" s="192"/>
      <c r="G412" s="192"/>
      <c r="H412" s="192"/>
      <c r="I412" s="214"/>
      <c r="J412" s="214"/>
      <c r="K412" s="193">
        <f>SUMIF(J351:J410, 1, K351:K410)</f>
        <v>36</v>
      </c>
      <c r="L412" s="193">
        <f t="shared" ref="L412:AG412" si="66">SUMIF($J351:$J410, 1, L351:L410)</f>
        <v>0</v>
      </c>
      <c r="M412" s="193">
        <f t="shared" si="66"/>
        <v>0.40890151515151518</v>
      </c>
      <c r="N412" s="193">
        <f t="shared" si="66"/>
        <v>0.14829545454545454</v>
      </c>
      <c r="O412" s="193">
        <f t="shared" si="66"/>
        <v>0</v>
      </c>
      <c r="P412" s="193">
        <f t="shared" si="66"/>
        <v>0</v>
      </c>
      <c r="Q412" s="193">
        <f t="shared" si="66"/>
        <v>0</v>
      </c>
      <c r="R412" s="193">
        <f t="shared" si="66"/>
        <v>0</v>
      </c>
      <c r="S412" s="193">
        <f t="shared" si="66"/>
        <v>0</v>
      </c>
      <c r="T412" s="193">
        <f t="shared" si="66"/>
        <v>0</v>
      </c>
      <c r="U412" s="193">
        <f t="shared" si="66"/>
        <v>0</v>
      </c>
      <c r="V412" s="193">
        <f t="shared" si="66"/>
        <v>0</v>
      </c>
      <c r="W412" s="193">
        <f t="shared" si="66"/>
        <v>0</v>
      </c>
      <c r="X412" s="193">
        <f t="shared" si="66"/>
        <v>0</v>
      </c>
      <c r="Y412" s="193">
        <f t="shared" si="66"/>
        <v>0</v>
      </c>
      <c r="Z412" s="193">
        <f t="shared" si="66"/>
        <v>0</v>
      </c>
      <c r="AA412" s="193">
        <f t="shared" si="66"/>
        <v>0</v>
      </c>
      <c r="AB412" s="193">
        <f t="shared" si="66"/>
        <v>0</v>
      </c>
      <c r="AC412" s="193">
        <f t="shared" si="66"/>
        <v>0</v>
      </c>
      <c r="AD412" s="193">
        <f t="shared" si="66"/>
        <v>0</v>
      </c>
      <c r="AE412" s="193">
        <f t="shared" si="66"/>
        <v>0</v>
      </c>
      <c r="AF412" s="193">
        <f t="shared" si="66"/>
        <v>0</v>
      </c>
      <c r="AG412" s="193">
        <f t="shared" si="66"/>
        <v>0</v>
      </c>
    </row>
    <row r="413" spans="2:33" ht="12.75" customHeight="1" x14ac:dyDescent="0.2">
      <c r="D413" s="191" t="s">
        <v>702</v>
      </c>
      <c r="E413" s="192"/>
      <c r="F413" s="192"/>
      <c r="G413" s="192"/>
      <c r="H413" s="192"/>
      <c r="I413" s="214"/>
      <c r="J413" s="214"/>
      <c r="K413" s="193">
        <f>SUMIF(J351:J410, 4, K351:K410)</f>
        <v>45</v>
      </c>
      <c r="L413" s="193">
        <f t="shared" ref="L413:AG413" si="67">SUMIF($J351:$J410, 4, L351:L410)</f>
        <v>0</v>
      </c>
      <c r="M413" s="193">
        <f t="shared" si="67"/>
        <v>0.82121212121212106</v>
      </c>
      <c r="N413" s="193">
        <f t="shared" si="67"/>
        <v>0.61590909090909085</v>
      </c>
      <c r="O413" s="193">
        <f t="shared" si="67"/>
        <v>0</v>
      </c>
      <c r="P413" s="193">
        <f t="shared" si="67"/>
        <v>0</v>
      </c>
      <c r="Q413" s="193">
        <f t="shared" si="67"/>
        <v>80</v>
      </c>
      <c r="R413" s="193">
        <f t="shared" si="67"/>
        <v>0</v>
      </c>
      <c r="S413" s="193">
        <f t="shared" si="67"/>
        <v>0</v>
      </c>
      <c r="T413" s="193">
        <f t="shared" si="67"/>
        <v>0</v>
      </c>
      <c r="U413" s="193">
        <f t="shared" si="67"/>
        <v>0</v>
      </c>
      <c r="V413" s="193">
        <f t="shared" si="67"/>
        <v>0</v>
      </c>
      <c r="W413" s="193">
        <f t="shared" si="67"/>
        <v>0</v>
      </c>
      <c r="X413" s="193">
        <f t="shared" si="67"/>
        <v>0</v>
      </c>
      <c r="Y413" s="193">
        <f t="shared" si="67"/>
        <v>0</v>
      </c>
      <c r="Z413" s="193">
        <f t="shared" si="67"/>
        <v>0</v>
      </c>
      <c r="AA413" s="193">
        <f t="shared" si="67"/>
        <v>0</v>
      </c>
      <c r="AB413" s="193">
        <f t="shared" si="67"/>
        <v>0</v>
      </c>
      <c r="AC413" s="193">
        <f t="shared" si="67"/>
        <v>0</v>
      </c>
      <c r="AD413" s="193">
        <f t="shared" si="67"/>
        <v>0</v>
      </c>
      <c r="AE413" s="193">
        <f t="shared" si="67"/>
        <v>0</v>
      </c>
      <c r="AF413" s="193">
        <f t="shared" si="67"/>
        <v>0</v>
      </c>
      <c r="AG413" s="193">
        <f t="shared" si="67"/>
        <v>0</v>
      </c>
    </row>
    <row r="414" spans="2:33" ht="12.75" customHeight="1" x14ac:dyDescent="0.2">
      <c r="D414" s="191" t="s">
        <v>703</v>
      </c>
      <c r="E414" s="192"/>
      <c r="F414" s="192"/>
      <c r="G414" s="192"/>
      <c r="H414" s="192"/>
      <c r="I414" s="214"/>
      <c r="J414" s="214"/>
      <c r="K414" s="193">
        <f>SUMIF(J351:J410, 6, K351:K410)</f>
        <v>0</v>
      </c>
      <c r="L414" s="193">
        <f t="shared" ref="L414:AG414" si="68">SUMIF($J351:$J410, 6, L351:L410)</f>
        <v>0</v>
      </c>
      <c r="M414" s="193">
        <f t="shared" si="68"/>
        <v>0</v>
      </c>
      <c r="N414" s="193">
        <f t="shared" si="68"/>
        <v>0</v>
      </c>
      <c r="O414" s="193">
        <f t="shared" si="68"/>
        <v>0</v>
      </c>
      <c r="P414" s="193">
        <f t="shared" si="68"/>
        <v>0</v>
      </c>
      <c r="Q414" s="193">
        <f t="shared" si="68"/>
        <v>0</v>
      </c>
      <c r="R414" s="193">
        <f t="shared" si="68"/>
        <v>0</v>
      </c>
      <c r="S414" s="193">
        <f t="shared" si="68"/>
        <v>0</v>
      </c>
      <c r="T414" s="193">
        <f t="shared" si="68"/>
        <v>0</v>
      </c>
      <c r="U414" s="193">
        <f t="shared" si="68"/>
        <v>0</v>
      </c>
      <c r="V414" s="193">
        <f t="shared" si="68"/>
        <v>0</v>
      </c>
      <c r="W414" s="193">
        <f t="shared" si="68"/>
        <v>0</v>
      </c>
      <c r="X414" s="193">
        <f t="shared" si="68"/>
        <v>0</v>
      </c>
      <c r="Y414" s="193">
        <f t="shared" si="68"/>
        <v>0</v>
      </c>
      <c r="Z414" s="193">
        <f t="shared" si="68"/>
        <v>0</v>
      </c>
      <c r="AA414" s="193">
        <f t="shared" si="68"/>
        <v>0</v>
      </c>
      <c r="AB414" s="193">
        <f t="shared" si="68"/>
        <v>0</v>
      </c>
      <c r="AC414" s="193">
        <f t="shared" si="68"/>
        <v>0</v>
      </c>
      <c r="AD414" s="193">
        <f t="shared" si="68"/>
        <v>0</v>
      </c>
      <c r="AE414" s="193">
        <f t="shared" si="68"/>
        <v>0</v>
      </c>
      <c r="AF414" s="193">
        <f t="shared" si="68"/>
        <v>0</v>
      </c>
      <c r="AG414" s="193">
        <f t="shared" si="68"/>
        <v>0</v>
      </c>
    </row>
    <row r="415" spans="2:33" ht="12.75" customHeight="1" thickBot="1" x14ac:dyDescent="0.25">
      <c r="I415" s="215"/>
      <c r="J415" s="215"/>
    </row>
    <row r="416" spans="2:33" ht="12.75" customHeight="1" thickBot="1" x14ac:dyDescent="0.25">
      <c r="B416" s="20" t="s">
        <v>9</v>
      </c>
      <c r="D416" s="277" t="str">
        <f>"SUBSUMMARY SHEET " &amp; B417</f>
        <v>SUBSUMMARY SHEET 6</v>
      </c>
      <c r="E416" s="277"/>
      <c r="F416" s="277"/>
      <c r="G416" s="277"/>
      <c r="H416" s="277"/>
      <c r="I416" s="277"/>
      <c r="J416" s="277"/>
      <c r="K416" s="277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  <c r="X416" s="277"/>
      <c r="Y416" s="277"/>
      <c r="Z416" s="277"/>
      <c r="AA416" s="277"/>
      <c r="AB416" s="277"/>
      <c r="AC416" s="277"/>
      <c r="AD416" s="277"/>
      <c r="AE416" s="277"/>
      <c r="AF416" s="194"/>
      <c r="AG416" s="194"/>
    </row>
    <row r="417" spans="2:33" ht="12.75" customHeight="1" thickBot="1" x14ac:dyDescent="0.25">
      <c r="B417" s="24">
        <v>6</v>
      </c>
      <c r="D417" s="279" t="s">
        <v>7</v>
      </c>
      <c r="E417" s="279"/>
      <c r="F417" s="279"/>
      <c r="G417" s="279"/>
      <c r="H417" s="279"/>
      <c r="I417" s="209"/>
      <c r="J417" s="209"/>
      <c r="K417" s="183" t="s">
        <v>26</v>
      </c>
      <c r="L417" s="183" t="s">
        <v>27</v>
      </c>
      <c r="M417" s="183" t="s">
        <v>693</v>
      </c>
      <c r="N417" s="183" t="s">
        <v>694</v>
      </c>
      <c r="O417" s="183" t="s">
        <v>40</v>
      </c>
      <c r="P417" s="183" t="s">
        <v>42</v>
      </c>
      <c r="Q417" s="183" t="s">
        <v>44</v>
      </c>
      <c r="R417" s="183" t="s">
        <v>705</v>
      </c>
      <c r="S417" s="183" t="s">
        <v>47</v>
      </c>
      <c r="T417" s="183" t="s">
        <v>49</v>
      </c>
      <c r="U417" s="183" t="s">
        <v>52</v>
      </c>
      <c r="V417" s="183" t="s">
        <v>53</v>
      </c>
      <c r="W417" s="183" t="s">
        <v>55</v>
      </c>
      <c r="X417" s="183" t="s">
        <v>57</v>
      </c>
      <c r="Y417" s="183" t="s">
        <v>63</v>
      </c>
      <c r="Z417" s="183" t="s">
        <v>65</v>
      </c>
      <c r="AA417" s="183" t="s">
        <v>707</v>
      </c>
      <c r="AB417" s="183" t="s">
        <v>709</v>
      </c>
      <c r="AC417" s="183" t="s">
        <v>70</v>
      </c>
      <c r="AD417" s="183" t="s">
        <v>71</v>
      </c>
      <c r="AE417" s="183" t="s">
        <v>72</v>
      </c>
      <c r="AF417" s="183" t="s">
        <v>73</v>
      </c>
      <c r="AG417" s="183" t="s">
        <v>688</v>
      </c>
    </row>
    <row r="418" spans="2:33" ht="12.75" customHeight="1" thickBot="1" x14ac:dyDescent="0.25">
      <c r="D418" s="280" t="s">
        <v>8</v>
      </c>
      <c r="E418" s="280"/>
      <c r="F418" s="280"/>
      <c r="G418" s="280"/>
      <c r="H418" s="280"/>
      <c r="I418" s="210"/>
      <c r="J418" s="210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</row>
    <row r="419" spans="2:33" ht="12.75" customHeight="1" x14ac:dyDescent="0.2">
      <c r="B419" s="250" t="s">
        <v>10</v>
      </c>
      <c r="D419" s="253" t="s">
        <v>20</v>
      </c>
      <c r="E419" s="253" t="s">
        <v>21</v>
      </c>
      <c r="F419" s="256" t="s">
        <v>0</v>
      </c>
      <c r="G419" s="257"/>
      <c r="H419" s="257"/>
      <c r="I419" s="262" t="s">
        <v>23</v>
      </c>
      <c r="J419" s="274" t="s">
        <v>704</v>
      </c>
      <c r="K419" s="161" t="str">
        <f>IF(OR(TRIM(K417)=0,TRIM(K417)=""),"",IF(IFERROR(TRIM(INDEX(QryItemNamed,MATCH(TRIM(K417),ITEM,0),2)),"")="Y","SPECIAL",LEFT(IFERROR(TRIM(INDEX(ITEM,MATCH(TRIM(K417),ITEM,0))),""),3)))</f>
        <v>621</v>
      </c>
      <c r="L419" s="145" t="str">
        <f>IF(OR(TRIM(L417)=0,TRIM(L417)=""),"",IF(IFERROR(TRIM(INDEX(QryItemNamed,MATCH(TRIM(L417),ITEM,0),2)),"")="Y","SPECIAL",LEFT(IFERROR(TRIM(INDEX(ITEM,MATCH(TRIM(L417),ITEM,0))),""),3)))</f>
        <v>621</v>
      </c>
      <c r="M419" s="145">
        <v>642</v>
      </c>
      <c r="N419" s="145">
        <v>642</v>
      </c>
      <c r="O419" s="145">
        <v>644</v>
      </c>
      <c r="P419" s="145">
        <v>644</v>
      </c>
      <c r="Q419" s="145">
        <v>644</v>
      </c>
      <c r="R419" s="145">
        <v>644</v>
      </c>
      <c r="S419" s="145">
        <v>644</v>
      </c>
      <c r="T419" s="145" t="s">
        <v>124</v>
      </c>
      <c r="U419" s="145">
        <v>644</v>
      </c>
      <c r="V419" s="145">
        <v>644</v>
      </c>
      <c r="W419" s="145">
        <v>644</v>
      </c>
      <c r="X419" s="145">
        <v>644</v>
      </c>
      <c r="Y419" s="145">
        <v>644</v>
      </c>
      <c r="Z419" s="145">
        <v>644</v>
      </c>
      <c r="AA419" s="145">
        <v>646</v>
      </c>
      <c r="AB419" s="145">
        <v>646</v>
      </c>
      <c r="AC419" s="145" t="s">
        <v>124</v>
      </c>
      <c r="AD419" s="145" t="s">
        <v>675</v>
      </c>
      <c r="AE419" s="145" t="s">
        <v>675</v>
      </c>
      <c r="AF419" s="145" t="s">
        <v>675</v>
      </c>
      <c r="AG419" s="145">
        <v>874</v>
      </c>
    </row>
    <row r="420" spans="2:33" ht="12.75" customHeight="1" x14ac:dyDescent="0.2">
      <c r="B420" s="251"/>
      <c r="D420" s="254"/>
      <c r="E420" s="254"/>
      <c r="F420" s="258"/>
      <c r="G420" s="259"/>
      <c r="H420" s="259"/>
      <c r="I420" s="263"/>
      <c r="J420" s="275"/>
      <c r="K420" s="265" t="str">
        <f>IF(OR(TRIM(K417)=0,TRIM(K417)=""),IF(K418="","",K418),IF(IFERROR(TRIM(INDEX(QryItemNamed,MATCH(TRIM(K417),ITEM,0),2)),"")="Y",TRIM(RIGHT(IFERROR(TRIM(INDEX(QryItemNamed,MATCH(TRIM(K417),ITEM,0),4)),"123456789012"),LEN(IFERROR(TRIM(INDEX(QryItemNamed,MATCH(TRIM(K417),ITEM,0),4)),"123456789012"))-9))&amp;K418,IFERROR(TRIM(INDEX(QryItemNamed,MATCH(TRIM(K417),ITEM,0),4))&amp;K418,"ITEM CODE DOES NOT EXIST IN ITEM MASTER")))</f>
        <v>RPM</v>
      </c>
      <c r="L420" s="244" t="str">
        <f>IF(OR(TRIM(L417)=0,TRIM(L417)=""),IF(L418="","",L418),IF(IFERROR(TRIM(INDEX(QryItemNamed,MATCH(TRIM(L417),ITEM,0),2)),"")="Y",TRIM(RIGHT(IFERROR(TRIM(INDEX(QryItemNamed,MATCH(TRIM(L417),ITEM,0),4)),"123456789012"),LEN(IFERROR(TRIM(INDEX(QryItemNamed,MATCH(TRIM(L417),ITEM,0),4)),"123456789012"))-9))&amp;L418,IFERROR(TRIM(INDEX(QryItemNamed,MATCH(TRIM(L417),ITEM,0),4))&amp;L418,"ITEM CODE DOES NOT EXIST IN ITEM MASTER")))</f>
        <v>RAISED PAVEMENT MARKER REMOVED</v>
      </c>
      <c r="M420" s="278" t="s">
        <v>692</v>
      </c>
      <c r="N420" s="278" t="s">
        <v>695</v>
      </c>
      <c r="O420" s="278" t="s">
        <v>41</v>
      </c>
      <c r="P420" s="278" t="s">
        <v>43</v>
      </c>
      <c r="Q420" s="278" t="s">
        <v>45</v>
      </c>
      <c r="R420" s="278" t="s">
        <v>706</v>
      </c>
      <c r="S420" s="244" t="s">
        <v>48</v>
      </c>
      <c r="T420" s="244" t="s">
        <v>50</v>
      </c>
      <c r="U420" s="244" t="s">
        <v>59</v>
      </c>
      <c r="V420" s="244" t="s">
        <v>54</v>
      </c>
      <c r="W420" s="244" t="s">
        <v>56</v>
      </c>
      <c r="X420" s="268" t="s">
        <v>58</v>
      </c>
      <c r="Y420" s="268" t="s">
        <v>64</v>
      </c>
      <c r="Z420" s="268" t="s">
        <v>66</v>
      </c>
      <c r="AA420" s="244" t="s">
        <v>708</v>
      </c>
      <c r="AB420" s="244" t="s">
        <v>32</v>
      </c>
      <c r="AC420" s="244" t="s">
        <v>74</v>
      </c>
      <c r="AD420" s="244" t="s">
        <v>672</v>
      </c>
      <c r="AE420" s="244" t="s">
        <v>671</v>
      </c>
      <c r="AF420" s="244" t="s">
        <v>670</v>
      </c>
      <c r="AG420" s="244" t="s">
        <v>689</v>
      </c>
    </row>
    <row r="421" spans="2:33" ht="12.75" customHeight="1" x14ac:dyDescent="0.2">
      <c r="B421" s="251"/>
      <c r="D421" s="254"/>
      <c r="E421" s="254"/>
      <c r="F421" s="258"/>
      <c r="G421" s="259"/>
      <c r="H421" s="259"/>
      <c r="I421" s="263"/>
      <c r="J421" s="275"/>
      <c r="K421" s="266"/>
      <c r="L421" s="245"/>
      <c r="M421" s="278"/>
      <c r="N421" s="278"/>
      <c r="O421" s="278"/>
      <c r="P421" s="278"/>
      <c r="Q421" s="278"/>
      <c r="R421" s="278"/>
      <c r="S421" s="245"/>
      <c r="T421" s="245"/>
      <c r="U421" s="245"/>
      <c r="V421" s="245"/>
      <c r="W421" s="245"/>
      <c r="X421" s="269"/>
      <c r="Y421" s="269"/>
      <c r="Z421" s="269"/>
      <c r="AA421" s="245"/>
      <c r="AB421" s="245"/>
      <c r="AC421" s="245"/>
      <c r="AD421" s="245"/>
      <c r="AE421" s="245"/>
      <c r="AF421" s="245"/>
      <c r="AG421" s="245"/>
    </row>
    <row r="422" spans="2:33" ht="12.75" customHeight="1" x14ac:dyDescent="0.2">
      <c r="B422" s="251"/>
      <c r="D422" s="254"/>
      <c r="E422" s="254"/>
      <c r="F422" s="258"/>
      <c r="G422" s="259"/>
      <c r="H422" s="259"/>
      <c r="I422" s="263"/>
      <c r="J422" s="275"/>
      <c r="K422" s="266"/>
      <c r="L422" s="245"/>
      <c r="M422" s="278"/>
      <c r="N422" s="278"/>
      <c r="O422" s="278"/>
      <c r="P422" s="278"/>
      <c r="Q422" s="278"/>
      <c r="R422" s="278"/>
      <c r="S422" s="245"/>
      <c r="T422" s="245"/>
      <c r="U422" s="245"/>
      <c r="V422" s="245"/>
      <c r="W422" s="245"/>
      <c r="X422" s="269"/>
      <c r="Y422" s="269"/>
      <c r="Z422" s="269"/>
      <c r="AA422" s="245"/>
      <c r="AB422" s="245"/>
      <c r="AC422" s="245"/>
      <c r="AD422" s="245"/>
      <c r="AE422" s="245"/>
      <c r="AF422" s="245"/>
      <c r="AG422" s="245"/>
    </row>
    <row r="423" spans="2:33" ht="12.75" customHeight="1" x14ac:dyDescent="0.2">
      <c r="B423" s="251"/>
      <c r="D423" s="254"/>
      <c r="E423" s="254"/>
      <c r="F423" s="258"/>
      <c r="G423" s="259"/>
      <c r="H423" s="259"/>
      <c r="I423" s="263"/>
      <c r="J423" s="275"/>
      <c r="K423" s="266"/>
      <c r="L423" s="245"/>
      <c r="M423" s="278"/>
      <c r="N423" s="278"/>
      <c r="O423" s="278"/>
      <c r="P423" s="278"/>
      <c r="Q423" s="278"/>
      <c r="R423" s="278"/>
      <c r="S423" s="245"/>
      <c r="T423" s="245"/>
      <c r="U423" s="245"/>
      <c r="V423" s="245"/>
      <c r="W423" s="245"/>
      <c r="X423" s="269"/>
      <c r="Y423" s="269"/>
      <c r="Z423" s="269"/>
      <c r="AA423" s="245"/>
      <c r="AB423" s="245"/>
      <c r="AC423" s="245"/>
      <c r="AD423" s="245"/>
      <c r="AE423" s="245"/>
      <c r="AF423" s="245"/>
      <c r="AG423" s="245"/>
    </row>
    <row r="424" spans="2:33" ht="12.75" customHeight="1" x14ac:dyDescent="0.2">
      <c r="B424" s="251"/>
      <c r="D424" s="254"/>
      <c r="E424" s="254"/>
      <c r="F424" s="258"/>
      <c r="G424" s="259"/>
      <c r="H424" s="259"/>
      <c r="I424" s="263"/>
      <c r="J424" s="275"/>
      <c r="K424" s="266"/>
      <c r="L424" s="245"/>
      <c r="M424" s="278"/>
      <c r="N424" s="278"/>
      <c r="O424" s="278"/>
      <c r="P424" s="278"/>
      <c r="Q424" s="278"/>
      <c r="R424" s="278"/>
      <c r="S424" s="245"/>
      <c r="T424" s="245"/>
      <c r="U424" s="245"/>
      <c r="V424" s="245"/>
      <c r="W424" s="245"/>
      <c r="X424" s="269"/>
      <c r="Y424" s="269"/>
      <c r="Z424" s="269"/>
      <c r="AA424" s="245"/>
      <c r="AB424" s="245"/>
      <c r="AC424" s="245"/>
      <c r="AD424" s="245"/>
      <c r="AE424" s="245"/>
      <c r="AF424" s="245"/>
      <c r="AG424" s="245"/>
    </row>
    <row r="425" spans="2:33" ht="12.75" customHeight="1" x14ac:dyDescent="0.2">
      <c r="B425" s="251"/>
      <c r="D425" s="254"/>
      <c r="E425" s="254"/>
      <c r="F425" s="258"/>
      <c r="G425" s="259"/>
      <c r="H425" s="259"/>
      <c r="I425" s="263"/>
      <c r="J425" s="275"/>
      <c r="K425" s="266"/>
      <c r="L425" s="245"/>
      <c r="M425" s="278"/>
      <c r="N425" s="278"/>
      <c r="O425" s="278"/>
      <c r="P425" s="278"/>
      <c r="Q425" s="278"/>
      <c r="R425" s="278"/>
      <c r="S425" s="245"/>
      <c r="T425" s="245"/>
      <c r="U425" s="245"/>
      <c r="V425" s="245"/>
      <c r="W425" s="245"/>
      <c r="X425" s="269"/>
      <c r="Y425" s="269"/>
      <c r="Z425" s="269"/>
      <c r="AA425" s="245"/>
      <c r="AB425" s="245"/>
      <c r="AC425" s="245"/>
      <c r="AD425" s="245"/>
      <c r="AE425" s="245"/>
      <c r="AF425" s="245"/>
      <c r="AG425" s="245"/>
    </row>
    <row r="426" spans="2:33" ht="12.75" customHeight="1" x14ac:dyDescent="0.2">
      <c r="B426" s="251"/>
      <c r="D426" s="254"/>
      <c r="E426" s="254"/>
      <c r="F426" s="258"/>
      <c r="G426" s="259"/>
      <c r="H426" s="259"/>
      <c r="I426" s="263"/>
      <c r="J426" s="275"/>
      <c r="K426" s="266"/>
      <c r="L426" s="245"/>
      <c r="M426" s="278"/>
      <c r="N426" s="278"/>
      <c r="O426" s="278"/>
      <c r="P426" s="278"/>
      <c r="Q426" s="278"/>
      <c r="R426" s="278"/>
      <c r="S426" s="245"/>
      <c r="T426" s="245"/>
      <c r="U426" s="245"/>
      <c r="V426" s="245"/>
      <c r="W426" s="245"/>
      <c r="X426" s="269"/>
      <c r="Y426" s="269"/>
      <c r="Z426" s="269"/>
      <c r="AA426" s="245"/>
      <c r="AB426" s="245"/>
      <c r="AC426" s="245"/>
      <c r="AD426" s="245"/>
      <c r="AE426" s="245"/>
      <c r="AF426" s="245"/>
      <c r="AG426" s="245"/>
    </row>
    <row r="427" spans="2:33" ht="12.75" customHeight="1" x14ac:dyDescent="0.2">
      <c r="B427" s="251"/>
      <c r="D427" s="254"/>
      <c r="E427" s="254"/>
      <c r="F427" s="258"/>
      <c r="G427" s="259"/>
      <c r="H427" s="259"/>
      <c r="I427" s="263"/>
      <c r="J427" s="275"/>
      <c r="K427" s="266"/>
      <c r="L427" s="245"/>
      <c r="M427" s="278"/>
      <c r="N427" s="278"/>
      <c r="O427" s="278"/>
      <c r="P427" s="278"/>
      <c r="Q427" s="278"/>
      <c r="R427" s="278"/>
      <c r="S427" s="245"/>
      <c r="T427" s="245"/>
      <c r="U427" s="245"/>
      <c r="V427" s="245"/>
      <c r="W427" s="245"/>
      <c r="X427" s="269"/>
      <c r="Y427" s="269"/>
      <c r="Z427" s="269"/>
      <c r="AA427" s="245"/>
      <c r="AB427" s="245"/>
      <c r="AC427" s="245"/>
      <c r="AD427" s="245"/>
      <c r="AE427" s="245"/>
      <c r="AF427" s="245"/>
      <c r="AG427" s="245"/>
    </row>
    <row r="428" spans="2:33" ht="12.75" customHeight="1" x14ac:dyDescent="0.2">
      <c r="B428" s="251"/>
      <c r="D428" s="254"/>
      <c r="E428" s="254"/>
      <c r="F428" s="258"/>
      <c r="G428" s="259"/>
      <c r="H428" s="259"/>
      <c r="I428" s="263"/>
      <c r="J428" s="275"/>
      <c r="K428" s="266"/>
      <c r="L428" s="245"/>
      <c r="M428" s="278"/>
      <c r="N428" s="278"/>
      <c r="O428" s="278"/>
      <c r="P428" s="278"/>
      <c r="Q428" s="278"/>
      <c r="R428" s="278"/>
      <c r="S428" s="245"/>
      <c r="T428" s="245"/>
      <c r="U428" s="245"/>
      <c r="V428" s="245"/>
      <c r="W428" s="245"/>
      <c r="X428" s="269"/>
      <c r="Y428" s="269"/>
      <c r="Z428" s="269"/>
      <c r="AA428" s="245"/>
      <c r="AB428" s="245"/>
      <c r="AC428" s="245"/>
      <c r="AD428" s="245"/>
      <c r="AE428" s="245"/>
      <c r="AF428" s="245"/>
      <c r="AG428" s="245"/>
    </row>
    <row r="429" spans="2:33" ht="12.75" customHeight="1" x14ac:dyDescent="0.2">
      <c r="B429" s="251"/>
      <c r="D429" s="254"/>
      <c r="E429" s="254"/>
      <c r="F429" s="258"/>
      <c r="G429" s="259"/>
      <c r="H429" s="259"/>
      <c r="I429" s="263"/>
      <c r="J429" s="275"/>
      <c r="K429" s="266"/>
      <c r="L429" s="245"/>
      <c r="M429" s="278"/>
      <c r="N429" s="278"/>
      <c r="O429" s="278"/>
      <c r="P429" s="278"/>
      <c r="Q429" s="278"/>
      <c r="R429" s="278"/>
      <c r="S429" s="245"/>
      <c r="T429" s="245"/>
      <c r="U429" s="245"/>
      <c r="V429" s="245"/>
      <c r="W429" s="245"/>
      <c r="X429" s="269"/>
      <c r="Y429" s="269"/>
      <c r="Z429" s="269"/>
      <c r="AA429" s="245"/>
      <c r="AB429" s="245"/>
      <c r="AC429" s="245"/>
      <c r="AD429" s="245"/>
      <c r="AE429" s="245"/>
      <c r="AF429" s="245"/>
      <c r="AG429" s="245"/>
    </row>
    <row r="430" spans="2:33" ht="12.75" customHeight="1" x14ac:dyDescent="0.2">
      <c r="B430" s="251"/>
      <c r="D430" s="254"/>
      <c r="E430" s="254"/>
      <c r="F430" s="258"/>
      <c r="G430" s="259"/>
      <c r="H430" s="259"/>
      <c r="I430" s="263"/>
      <c r="J430" s="275"/>
      <c r="K430" s="266"/>
      <c r="L430" s="245"/>
      <c r="M430" s="278"/>
      <c r="N430" s="278"/>
      <c r="O430" s="278"/>
      <c r="P430" s="278"/>
      <c r="Q430" s="278"/>
      <c r="R430" s="278"/>
      <c r="S430" s="245"/>
      <c r="T430" s="245"/>
      <c r="U430" s="245"/>
      <c r="V430" s="245"/>
      <c r="W430" s="245"/>
      <c r="X430" s="269"/>
      <c r="Y430" s="269"/>
      <c r="Z430" s="269"/>
      <c r="AA430" s="245"/>
      <c r="AB430" s="245"/>
      <c r="AC430" s="245"/>
      <c r="AD430" s="245"/>
      <c r="AE430" s="245"/>
      <c r="AF430" s="245"/>
      <c r="AG430" s="245"/>
    </row>
    <row r="431" spans="2:33" ht="12.75" customHeight="1" x14ac:dyDescent="0.2">
      <c r="B431" s="251"/>
      <c r="D431" s="254"/>
      <c r="E431" s="254"/>
      <c r="F431" s="258"/>
      <c r="G431" s="259"/>
      <c r="H431" s="259"/>
      <c r="I431" s="263"/>
      <c r="J431" s="275"/>
      <c r="K431" s="267"/>
      <c r="L431" s="246"/>
      <c r="M431" s="278"/>
      <c r="N431" s="278"/>
      <c r="O431" s="278"/>
      <c r="P431" s="278"/>
      <c r="Q431" s="278"/>
      <c r="R431" s="278"/>
      <c r="S431" s="246"/>
      <c r="T431" s="246"/>
      <c r="U431" s="246"/>
      <c r="V431" s="246"/>
      <c r="W431" s="246"/>
      <c r="X431" s="270"/>
      <c r="Y431" s="270"/>
      <c r="Z431" s="270"/>
      <c r="AA431" s="246"/>
      <c r="AB431" s="246"/>
      <c r="AC431" s="246"/>
      <c r="AD431" s="246"/>
      <c r="AE431" s="246"/>
      <c r="AF431" s="246"/>
      <c r="AG431" s="246"/>
    </row>
    <row r="432" spans="2:33" ht="12.75" customHeight="1" thickBot="1" x14ac:dyDescent="0.25">
      <c r="B432" s="252"/>
      <c r="D432" s="255"/>
      <c r="E432" s="255"/>
      <c r="F432" s="260"/>
      <c r="G432" s="261"/>
      <c r="H432" s="261"/>
      <c r="I432" s="264"/>
      <c r="J432" s="276"/>
      <c r="K432" s="138" t="str">
        <f t="shared" ref="K432:O432" si="69">IF(OR(TRIM(K417)=0,TRIM(K417)=""),"",IFERROR(TRIM(INDEX(QryItemNamed,MATCH(TRIM(K417),ITEM,0),3)),""))</f>
        <v>EACH</v>
      </c>
      <c r="L432" s="102" t="str">
        <f t="shared" si="69"/>
        <v>EACH</v>
      </c>
      <c r="M432" s="102" t="str">
        <f t="shared" si="69"/>
        <v>MILE</v>
      </c>
      <c r="N432" s="102" t="str">
        <f t="shared" si="69"/>
        <v>MILE</v>
      </c>
      <c r="O432" s="102" t="str">
        <f t="shared" si="69"/>
        <v>FT</v>
      </c>
      <c r="P432" s="102" t="s">
        <v>46</v>
      </c>
      <c r="Q432" s="102" t="s">
        <v>46</v>
      </c>
      <c r="R432" s="102" t="s">
        <v>46</v>
      </c>
      <c r="S432" s="102" t="s">
        <v>46</v>
      </c>
      <c r="T432" s="102" t="s">
        <v>51</v>
      </c>
      <c r="U432" s="102" t="s">
        <v>51</v>
      </c>
      <c r="V432" s="102" t="s">
        <v>51</v>
      </c>
      <c r="W432" s="102" t="s">
        <v>46</v>
      </c>
      <c r="X432" s="102" t="s">
        <v>46</v>
      </c>
      <c r="Y432" s="102" t="s">
        <v>46</v>
      </c>
      <c r="Z432" s="102" t="s">
        <v>51</v>
      </c>
      <c r="AA432" s="102" t="s">
        <v>673</v>
      </c>
      <c r="AB432" s="102" t="s">
        <v>673</v>
      </c>
      <c r="AC432" s="102" t="s">
        <v>673</v>
      </c>
      <c r="AD432" s="102" t="s">
        <v>673</v>
      </c>
      <c r="AE432" s="102" t="s">
        <v>673</v>
      </c>
      <c r="AF432" s="102" t="s">
        <v>673</v>
      </c>
      <c r="AG432" s="102" t="s">
        <v>673</v>
      </c>
    </row>
    <row r="433" spans="2:33" ht="12.75" customHeight="1" x14ac:dyDescent="0.2">
      <c r="B433" s="22">
        <v>1</v>
      </c>
      <c r="C433" s="5">
        <f>913+18</f>
        <v>931</v>
      </c>
      <c r="D433" s="114" t="s">
        <v>310</v>
      </c>
      <c r="E433" s="114" t="s">
        <v>753</v>
      </c>
      <c r="F433" s="147">
        <v>173601</v>
      </c>
      <c r="G433" s="114"/>
      <c r="H433" s="147">
        <v>173650</v>
      </c>
      <c r="I433" s="217" t="s">
        <v>24</v>
      </c>
      <c r="J433" s="212">
        <v>1</v>
      </c>
      <c r="K433" s="139"/>
      <c r="L433" s="114"/>
      <c r="M433" s="140">
        <f>(16+16.5+19.5+19)/5280</f>
        <v>1.3446969696969697E-2</v>
      </c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  <c r="AA433" s="114"/>
      <c r="AB433" s="114"/>
      <c r="AC433" s="114"/>
      <c r="AD433" s="114"/>
      <c r="AE433" s="114"/>
      <c r="AF433" s="114"/>
      <c r="AG433" s="114"/>
    </row>
    <row r="434" spans="2:33" ht="12.75" customHeight="1" x14ac:dyDescent="0.2">
      <c r="B434" s="22">
        <v>1</v>
      </c>
      <c r="D434" s="114" t="s">
        <v>645</v>
      </c>
      <c r="E434" s="114" t="s">
        <v>753</v>
      </c>
      <c r="F434" s="147">
        <v>173601</v>
      </c>
      <c r="G434" s="114"/>
      <c r="H434" s="147">
        <v>173650</v>
      </c>
      <c r="I434" s="217" t="s">
        <v>24</v>
      </c>
      <c r="J434" s="212">
        <v>1</v>
      </c>
      <c r="K434" s="139">
        <v>2</v>
      </c>
      <c r="L434" s="114"/>
      <c r="M434" s="140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14"/>
    </row>
    <row r="435" spans="2:33" ht="12.75" customHeight="1" x14ac:dyDescent="0.2">
      <c r="B435" s="22">
        <v>1</v>
      </c>
      <c r="D435" s="114" t="s">
        <v>315</v>
      </c>
      <c r="E435" s="114" t="s">
        <v>753</v>
      </c>
      <c r="F435" s="147">
        <v>160100</v>
      </c>
      <c r="G435" s="114"/>
      <c r="H435" s="147">
        <v>160201</v>
      </c>
      <c r="I435" s="218" t="s">
        <v>24</v>
      </c>
      <c r="J435" s="212">
        <v>1</v>
      </c>
      <c r="K435" s="139"/>
      <c r="L435" s="114"/>
      <c r="M435" s="140">
        <f>(16+16.5+19.5+19)/5280</f>
        <v>1.3446969696969697E-2</v>
      </c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</row>
    <row r="436" spans="2:33" ht="12.75" customHeight="1" x14ac:dyDescent="0.2">
      <c r="B436" s="22">
        <v>1</v>
      </c>
      <c r="D436" s="114" t="s">
        <v>641</v>
      </c>
      <c r="E436" s="114" t="s">
        <v>753</v>
      </c>
      <c r="F436" s="147">
        <v>160100</v>
      </c>
      <c r="G436" s="114"/>
      <c r="H436" s="147">
        <v>160201</v>
      </c>
      <c r="I436" s="217" t="s">
        <v>24</v>
      </c>
      <c r="J436" s="212">
        <v>1</v>
      </c>
      <c r="K436" s="141">
        <f>ROUNDUP((H436-F436)/40,0)</f>
        <v>3</v>
      </c>
      <c r="L436" s="114"/>
      <c r="M436" s="140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  <c r="AA436" s="114"/>
      <c r="AB436" s="114"/>
      <c r="AC436" s="114"/>
      <c r="AD436" s="114"/>
      <c r="AE436" s="114"/>
      <c r="AF436" s="114"/>
      <c r="AG436" s="114"/>
    </row>
    <row r="437" spans="2:33" ht="12.6" customHeight="1" x14ac:dyDescent="0.2">
      <c r="B437" s="22">
        <v>1</v>
      </c>
      <c r="D437" s="114" t="s">
        <v>316</v>
      </c>
      <c r="E437" s="114" t="s">
        <v>753</v>
      </c>
      <c r="F437" s="147">
        <v>160100</v>
      </c>
      <c r="G437" s="114"/>
      <c r="H437" s="147">
        <v>160193</v>
      </c>
      <c r="I437" s="217" t="s">
        <v>24</v>
      </c>
      <c r="J437" s="212">
        <v>1</v>
      </c>
      <c r="K437" s="139"/>
      <c r="L437" s="114"/>
      <c r="M437" s="140">
        <f>(16+16.5+19.5+19)/5280</f>
        <v>1.3446969696969697E-2</v>
      </c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  <c r="AA437" s="114"/>
      <c r="AB437" s="114"/>
      <c r="AC437" s="114"/>
      <c r="AD437" s="114"/>
      <c r="AE437" s="114"/>
      <c r="AF437" s="114"/>
      <c r="AG437" s="114"/>
    </row>
    <row r="438" spans="2:33" ht="12.6" customHeight="1" x14ac:dyDescent="0.2">
      <c r="B438" s="22">
        <v>1</v>
      </c>
      <c r="D438" s="114" t="s">
        <v>642</v>
      </c>
      <c r="E438" s="114" t="s">
        <v>753</v>
      </c>
      <c r="F438" s="147">
        <v>160100</v>
      </c>
      <c r="G438" s="114"/>
      <c r="H438" s="147">
        <v>160193</v>
      </c>
      <c r="I438" s="217" t="s">
        <v>24</v>
      </c>
      <c r="J438" s="212">
        <v>1</v>
      </c>
      <c r="K438" s="141">
        <f>ROUNDUP((H438-F438)/40,0)</f>
        <v>3</v>
      </c>
      <c r="L438" s="114"/>
      <c r="M438" s="140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14"/>
    </row>
    <row r="439" spans="2:33" ht="12.75" customHeight="1" x14ac:dyDescent="0.2">
      <c r="B439" s="22">
        <v>1</v>
      </c>
      <c r="D439" s="114" t="s">
        <v>311</v>
      </c>
      <c r="E439" s="114" t="s">
        <v>753</v>
      </c>
      <c r="F439" s="147">
        <v>173609</v>
      </c>
      <c r="G439" s="114"/>
      <c r="H439" s="147">
        <v>173638</v>
      </c>
      <c r="I439" s="217" t="s">
        <v>25</v>
      </c>
      <c r="J439" s="212">
        <v>1</v>
      </c>
      <c r="K439" s="139"/>
      <c r="L439" s="114"/>
      <c r="M439" s="140">
        <f>(16+16.5+19.5+19)/5280</f>
        <v>1.3446969696969697E-2</v>
      </c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  <c r="AA439" s="114"/>
      <c r="AB439" s="114"/>
      <c r="AC439" s="114"/>
      <c r="AD439" s="114"/>
      <c r="AE439" s="114"/>
      <c r="AF439" s="114"/>
      <c r="AG439" s="114"/>
    </row>
    <row r="440" spans="2:33" ht="12.75" customHeight="1" x14ac:dyDescent="0.2">
      <c r="B440" s="22">
        <v>1</v>
      </c>
      <c r="D440" s="114" t="s">
        <v>646</v>
      </c>
      <c r="E440" s="114" t="s">
        <v>753</v>
      </c>
      <c r="F440" s="147">
        <v>173609</v>
      </c>
      <c r="G440" s="114"/>
      <c r="H440" s="147">
        <v>173638</v>
      </c>
      <c r="I440" s="217" t="s">
        <v>25</v>
      </c>
      <c r="J440" s="212">
        <v>1</v>
      </c>
      <c r="K440" s="139">
        <v>2</v>
      </c>
      <c r="L440" s="114"/>
      <c r="M440" s="140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  <c r="AA440" s="114"/>
      <c r="AB440" s="114"/>
      <c r="AC440" s="114"/>
      <c r="AD440" s="114"/>
      <c r="AE440" s="114"/>
      <c r="AF440" s="114"/>
      <c r="AG440" s="114"/>
    </row>
    <row r="441" spans="2:33" ht="12.75" customHeight="1" x14ac:dyDescent="0.2">
      <c r="B441" s="22">
        <v>1</v>
      </c>
      <c r="D441" s="114" t="s">
        <v>317</v>
      </c>
      <c r="E441" s="114" t="s">
        <v>753</v>
      </c>
      <c r="F441" s="147">
        <v>173609</v>
      </c>
      <c r="G441" s="114"/>
      <c r="H441" s="147">
        <v>173624</v>
      </c>
      <c r="I441" s="217" t="s">
        <v>25</v>
      </c>
      <c r="J441" s="212">
        <v>1</v>
      </c>
      <c r="K441" s="139"/>
      <c r="L441" s="114"/>
      <c r="M441" s="140">
        <f>(19+15)/5280</f>
        <v>6.4393939393939392E-3</v>
      </c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  <c r="AB441" s="114"/>
      <c r="AC441" s="114"/>
      <c r="AD441" s="114"/>
      <c r="AE441" s="114"/>
      <c r="AF441" s="114"/>
      <c r="AG441" s="114"/>
    </row>
    <row r="442" spans="2:33" ht="12.75" customHeight="1" x14ac:dyDescent="0.2">
      <c r="B442" s="22">
        <v>1</v>
      </c>
      <c r="D442" s="114" t="s">
        <v>647</v>
      </c>
      <c r="E442" s="114" t="s">
        <v>753</v>
      </c>
      <c r="F442" s="147">
        <v>173609</v>
      </c>
      <c r="G442" s="114"/>
      <c r="H442" s="147">
        <v>173624</v>
      </c>
      <c r="I442" s="217" t="s">
        <v>25</v>
      </c>
      <c r="J442" s="212">
        <v>1</v>
      </c>
      <c r="K442" s="141">
        <f>ROUNDUP((H442-F442)/40,0)</f>
        <v>1</v>
      </c>
      <c r="L442" s="114"/>
      <c r="M442" s="140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  <c r="AA442" s="114"/>
      <c r="AB442" s="114"/>
      <c r="AC442" s="114"/>
      <c r="AD442" s="114"/>
      <c r="AE442" s="114"/>
      <c r="AF442" s="114"/>
      <c r="AG442" s="114"/>
    </row>
    <row r="443" spans="2:33" ht="12.6" customHeight="1" x14ac:dyDescent="0.2">
      <c r="B443" s="22">
        <v>1</v>
      </c>
      <c r="D443" s="114" t="s">
        <v>318</v>
      </c>
      <c r="E443" s="114" t="s">
        <v>753</v>
      </c>
      <c r="F443" s="147">
        <v>173624</v>
      </c>
      <c r="G443" s="114"/>
      <c r="H443" s="147">
        <v>173638</v>
      </c>
      <c r="I443" s="217" t="s">
        <v>25</v>
      </c>
      <c r="J443" s="212">
        <v>1</v>
      </c>
      <c r="K443" s="139"/>
      <c r="L443" s="114"/>
      <c r="M443" s="140">
        <f>(19+15)/5280</f>
        <v>6.4393939393939392E-3</v>
      </c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14"/>
    </row>
    <row r="444" spans="2:33" ht="12.6" customHeight="1" x14ac:dyDescent="0.2">
      <c r="B444" s="22">
        <v>1</v>
      </c>
      <c r="D444" s="114" t="s">
        <v>648</v>
      </c>
      <c r="E444" s="114" t="s">
        <v>753</v>
      </c>
      <c r="F444" s="147">
        <v>173624</v>
      </c>
      <c r="G444" s="114"/>
      <c r="H444" s="147">
        <v>173638</v>
      </c>
      <c r="I444" s="217" t="s">
        <v>25</v>
      </c>
      <c r="J444" s="212">
        <v>1</v>
      </c>
      <c r="K444" s="141">
        <f>ROUNDUP((H444-F444)/40,0)</f>
        <v>1</v>
      </c>
      <c r="L444" s="114"/>
      <c r="M444" s="140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  <c r="AB444" s="114"/>
      <c r="AC444" s="114"/>
      <c r="AD444" s="114"/>
      <c r="AE444" s="114"/>
      <c r="AF444" s="114"/>
      <c r="AG444" s="114"/>
    </row>
    <row r="445" spans="2:33" ht="12.75" customHeight="1" x14ac:dyDescent="0.2">
      <c r="B445" s="22">
        <v>1</v>
      </c>
      <c r="D445" s="114" t="s">
        <v>312</v>
      </c>
      <c r="E445" s="114" t="s">
        <v>753</v>
      </c>
      <c r="F445" s="147">
        <v>173696</v>
      </c>
      <c r="G445" s="114"/>
      <c r="H445" s="147">
        <v>173704</v>
      </c>
      <c r="I445" s="217" t="s">
        <v>62</v>
      </c>
      <c r="J445" s="212">
        <v>1</v>
      </c>
      <c r="K445" s="139"/>
      <c r="L445" s="114"/>
      <c r="M445" s="140">
        <f>(26.5+13.5)/5280</f>
        <v>7.575757575757576E-3</v>
      </c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  <c r="AA445" s="114"/>
      <c r="AB445" s="114"/>
      <c r="AC445" s="114"/>
      <c r="AD445" s="114"/>
      <c r="AE445" s="114"/>
      <c r="AF445" s="114"/>
      <c r="AG445" s="114"/>
    </row>
    <row r="446" spans="2:33" ht="12.75" customHeight="1" x14ac:dyDescent="0.2">
      <c r="B446" s="22">
        <v>1</v>
      </c>
      <c r="D446" s="114" t="s">
        <v>649</v>
      </c>
      <c r="E446" s="114" t="s">
        <v>753</v>
      </c>
      <c r="F446" s="147">
        <v>173696</v>
      </c>
      <c r="G446" s="114"/>
      <c r="H446" s="147">
        <v>173704</v>
      </c>
      <c r="I446" s="217" t="s">
        <v>62</v>
      </c>
      <c r="J446" s="212">
        <v>1</v>
      </c>
      <c r="K446" s="139">
        <v>2</v>
      </c>
      <c r="L446" s="114"/>
      <c r="M446" s="140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14"/>
    </row>
    <row r="447" spans="2:33" ht="12.75" customHeight="1" x14ac:dyDescent="0.2">
      <c r="B447" s="22">
        <v>1</v>
      </c>
      <c r="D447" s="114" t="s">
        <v>319</v>
      </c>
      <c r="E447" s="114" t="s">
        <v>753</v>
      </c>
      <c r="F447" s="147">
        <v>173696</v>
      </c>
      <c r="G447" s="114"/>
      <c r="H447" s="147">
        <v>173800</v>
      </c>
      <c r="I447" s="217" t="s">
        <v>24</v>
      </c>
      <c r="J447" s="212">
        <v>1</v>
      </c>
      <c r="K447" s="139"/>
      <c r="L447" s="114"/>
      <c r="M447" s="140">
        <f>(H447-F447)/5280</f>
        <v>1.9696969696969695E-2</v>
      </c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  <c r="AA447" s="114"/>
      <c r="AB447" s="114"/>
      <c r="AC447" s="114"/>
      <c r="AD447" s="114"/>
      <c r="AE447" s="114"/>
      <c r="AF447" s="114"/>
      <c r="AG447" s="114"/>
    </row>
    <row r="448" spans="2:33" ht="12.75" customHeight="1" x14ac:dyDescent="0.2">
      <c r="B448" s="22">
        <v>1</v>
      </c>
      <c r="D448" s="114" t="s">
        <v>650</v>
      </c>
      <c r="E448" s="114" t="s">
        <v>753</v>
      </c>
      <c r="F448" s="147">
        <v>173696</v>
      </c>
      <c r="G448" s="114"/>
      <c r="H448" s="147">
        <v>173800</v>
      </c>
      <c r="I448" s="217" t="s">
        <v>24</v>
      </c>
      <c r="J448" s="212">
        <v>1</v>
      </c>
      <c r="K448" s="141">
        <f>ROUNDUP((H448-F448)/40,0)</f>
        <v>3</v>
      </c>
      <c r="L448" s="114"/>
      <c r="M448" s="140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  <c r="AA448" s="114"/>
      <c r="AB448" s="114"/>
      <c r="AC448" s="114"/>
      <c r="AD448" s="114"/>
      <c r="AE448" s="114"/>
      <c r="AF448" s="114"/>
      <c r="AG448" s="114"/>
    </row>
    <row r="449" spans="2:33" ht="12.6" customHeight="1" x14ac:dyDescent="0.2">
      <c r="B449" s="22">
        <v>1</v>
      </c>
      <c r="D449" s="114" t="s">
        <v>320</v>
      </c>
      <c r="E449" s="114" t="s">
        <v>753</v>
      </c>
      <c r="F449" s="147">
        <v>173704</v>
      </c>
      <c r="G449" s="114"/>
      <c r="H449" s="147">
        <v>173800</v>
      </c>
      <c r="I449" s="217" t="s">
        <v>25</v>
      </c>
      <c r="J449" s="212">
        <v>1</v>
      </c>
      <c r="K449" s="139"/>
      <c r="L449" s="114"/>
      <c r="M449" s="140">
        <f>(H449-F449)/5280</f>
        <v>1.8181818181818181E-2</v>
      </c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  <c r="AA449" s="114"/>
      <c r="AB449" s="114"/>
      <c r="AC449" s="114"/>
      <c r="AD449" s="114"/>
      <c r="AE449" s="114"/>
      <c r="AF449" s="114"/>
      <c r="AG449" s="114"/>
    </row>
    <row r="450" spans="2:33" ht="12.6" customHeight="1" x14ac:dyDescent="0.2">
      <c r="B450" s="22">
        <v>1</v>
      </c>
      <c r="D450" s="114" t="s">
        <v>651</v>
      </c>
      <c r="E450" s="114" t="s">
        <v>753</v>
      </c>
      <c r="F450" s="147">
        <v>173704</v>
      </c>
      <c r="G450" s="114"/>
      <c r="H450" s="147">
        <v>173800</v>
      </c>
      <c r="I450" s="217" t="s">
        <v>25</v>
      </c>
      <c r="J450" s="212">
        <v>1</v>
      </c>
      <c r="K450" s="141">
        <f>ROUNDUP((H450-F450)/40,0)</f>
        <v>3</v>
      </c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14"/>
    </row>
    <row r="451" spans="2:33" ht="12.75" customHeight="1" x14ac:dyDescent="0.2">
      <c r="B451" s="22">
        <v>1</v>
      </c>
      <c r="D451" s="114" t="s">
        <v>321</v>
      </c>
      <c r="E451" s="114" t="s">
        <v>753</v>
      </c>
      <c r="F451" s="147">
        <v>173300</v>
      </c>
      <c r="G451" s="114"/>
      <c r="H451" s="147">
        <v>173365</v>
      </c>
      <c r="I451" s="217" t="s">
        <v>24</v>
      </c>
      <c r="J451" s="212">
        <v>1</v>
      </c>
      <c r="K451" s="139"/>
      <c r="L451" s="114"/>
      <c r="M451" s="114"/>
      <c r="N451" s="140">
        <f>(H451-F451)/5280</f>
        <v>1.231060606060606E-2</v>
      </c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</row>
    <row r="452" spans="2:33" ht="12.75" customHeight="1" x14ac:dyDescent="0.2">
      <c r="B452" s="22">
        <v>1</v>
      </c>
      <c r="D452" s="114" t="s">
        <v>632</v>
      </c>
      <c r="E452" s="114" t="s">
        <v>753</v>
      </c>
      <c r="F452" s="147">
        <v>173300</v>
      </c>
      <c r="G452" s="114"/>
      <c r="H452" s="147">
        <v>173365</v>
      </c>
      <c r="I452" s="217" t="s">
        <v>24</v>
      </c>
      <c r="J452" s="212">
        <v>1</v>
      </c>
      <c r="K452" s="141">
        <f>ROUNDUP((H452-F452)/20,0)</f>
        <v>4</v>
      </c>
      <c r="L452" s="116"/>
      <c r="M452" s="116"/>
      <c r="N452" s="196"/>
      <c r="O452" s="116"/>
      <c r="P452" s="116"/>
      <c r="Q452" s="116"/>
      <c r="R452" s="116"/>
      <c r="S452" s="116"/>
      <c r="T452" s="114"/>
      <c r="U452" s="114"/>
      <c r="V452" s="114"/>
      <c r="W452" s="114"/>
      <c r="X452" s="114"/>
      <c r="Y452" s="114"/>
      <c r="Z452" s="114"/>
      <c r="AA452" s="114"/>
      <c r="AB452" s="114"/>
      <c r="AC452" s="114"/>
      <c r="AD452" s="114"/>
      <c r="AE452" s="114"/>
      <c r="AF452" s="114"/>
      <c r="AG452" s="114"/>
    </row>
    <row r="453" spans="2:33" ht="12.6" customHeight="1" x14ac:dyDescent="0.2">
      <c r="B453" s="22">
        <v>1</v>
      </c>
      <c r="D453" s="114" t="s">
        <v>322</v>
      </c>
      <c r="E453" s="114" t="s">
        <v>753</v>
      </c>
      <c r="F453" s="197">
        <v>173300</v>
      </c>
      <c r="G453" s="116"/>
      <c r="H453" s="153">
        <v>173365</v>
      </c>
      <c r="I453" s="220" t="s">
        <v>25</v>
      </c>
      <c r="J453" s="212">
        <v>1</v>
      </c>
      <c r="K453" s="198"/>
      <c r="L453" s="116"/>
      <c r="M453" s="116"/>
      <c r="N453" s="196">
        <f>(H453-F453)/5280</f>
        <v>1.231060606060606E-2</v>
      </c>
      <c r="O453" s="116"/>
      <c r="P453" s="116"/>
      <c r="Q453" s="116"/>
      <c r="R453" s="116"/>
      <c r="S453" s="116"/>
      <c r="T453" s="114"/>
      <c r="U453" s="114"/>
      <c r="V453" s="114"/>
      <c r="W453" s="114"/>
      <c r="X453" s="114"/>
      <c r="Y453" s="114"/>
      <c r="Z453" s="114"/>
      <c r="AA453" s="114"/>
      <c r="AB453" s="114"/>
      <c r="AC453" s="114"/>
      <c r="AD453" s="114"/>
      <c r="AE453" s="114"/>
      <c r="AF453" s="114"/>
      <c r="AG453" s="114"/>
    </row>
    <row r="454" spans="2:33" ht="12.6" customHeight="1" x14ac:dyDescent="0.2">
      <c r="B454" s="22">
        <v>1</v>
      </c>
      <c r="D454" s="114" t="s">
        <v>633</v>
      </c>
      <c r="E454" s="114" t="s">
        <v>753</v>
      </c>
      <c r="F454" s="197">
        <v>173300</v>
      </c>
      <c r="G454" s="116"/>
      <c r="H454" s="153">
        <v>173365</v>
      </c>
      <c r="I454" s="220" t="s">
        <v>25</v>
      </c>
      <c r="J454" s="212">
        <v>1</v>
      </c>
      <c r="K454" s="141">
        <f>ROUNDUP((H454-F454)/20,0)</f>
        <v>4</v>
      </c>
      <c r="L454" s="116"/>
      <c r="M454" s="116"/>
      <c r="N454" s="196"/>
      <c r="O454" s="116"/>
      <c r="P454" s="116"/>
      <c r="Q454" s="116"/>
      <c r="R454" s="116"/>
      <c r="S454" s="116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</row>
    <row r="455" spans="2:33" ht="12.75" customHeight="1" x14ac:dyDescent="0.2">
      <c r="B455" s="22">
        <v>1</v>
      </c>
      <c r="D455" s="114" t="s">
        <v>323</v>
      </c>
      <c r="E455" s="114" t="s">
        <v>753</v>
      </c>
      <c r="F455" s="146">
        <v>160100</v>
      </c>
      <c r="G455" s="114"/>
      <c r="H455" s="147">
        <v>160113</v>
      </c>
      <c r="I455" s="217" t="s">
        <v>24</v>
      </c>
      <c r="J455" s="212">
        <v>1</v>
      </c>
      <c r="K455" s="139"/>
      <c r="L455" s="114"/>
      <c r="M455" s="114"/>
      <c r="N455" s="140">
        <f>(H455-F455)/5280</f>
        <v>2.4621212121212119E-3</v>
      </c>
      <c r="O455" s="110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  <c r="AA455" s="114"/>
      <c r="AB455" s="114"/>
      <c r="AC455" s="114"/>
      <c r="AD455" s="114"/>
      <c r="AE455" s="114"/>
      <c r="AF455" s="114"/>
      <c r="AG455" s="114"/>
    </row>
    <row r="456" spans="2:33" ht="12.75" customHeight="1" x14ac:dyDescent="0.2">
      <c r="B456" s="22">
        <v>1</v>
      </c>
      <c r="D456" s="114" t="s">
        <v>643</v>
      </c>
      <c r="E456" s="114" t="s">
        <v>753</v>
      </c>
      <c r="F456" s="146">
        <v>160100</v>
      </c>
      <c r="G456" s="114"/>
      <c r="H456" s="147">
        <v>160113</v>
      </c>
      <c r="I456" s="217" t="s">
        <v>24</v>
      </c>
      <c r="J456" s="212">
        <v>1</v>
      </c>
      <c r="K456" s="141">
        <f>ROUNDUP((H456-F456)/20,0)</f>
        <v>1</v>
      </c>
      <c r="L456" s="114"/>
      <c r="M456" s="114"/>
      <c r="N456" s="140"/>
      <c r="O456" s="110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  <c r="AA456" s="114"/>
      <c r="AB456" s="114"/>
      <c r="AC456" s="114"/>
      <c r="AD456" s="114"/>
      <c r="AE456" s="114"/>
      <c r="AF456" s="114"/>
      <c r="AG456" s="114"/>
    </row>
    <row r="457" spans="2:33" ht="12.75" customHeight="1" x14ac:dyDescent="0.2">
      <c r="B457" s="22">
        <v>1</v>
      </c>
      <c r="D457" s="114" t="s">
        <v>324</v>
      </c>
      <c r="E457" s="114" t="s">
        <v>753</v>
      </c>
      <c r="F457" s="146">
        <v>160100</v>
      </c>
      <c r="G457" s="114"/>
      <c r="H457" s="147">
        <v>160113</v>
      </c>
      <c r="I457" s="217" t="s">
        <v>24</v>
      </c>
      <c r="J457" s="212">
        <v>1</v>
      </c>
      <c r="K457" s="139"/>
      <c r="L457" s="114"/>
      <c r="M457" s="114"/>
      <c r="N457" s="140">
        <f>(H457-F457)/5280</f>
        <v>2.4621212121212119E-3</v>
      </c>
      <c r="O457" s="110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14"/>
    </row>
    <row r="458" spans="2:33" ht="12.75" customHeight="1" x14ac:dyDescent="0.2">
      <c r="B458" s="22">
        <v>1</v>
      </c>
      <c r="D458" s="114" t="s">
        <v>644</v>
      </c>
      <c r="E458" s="114" t="s">
        <v>753</v>
      </c>
      <c r="F458" s="146">
        <v>160100</v>
      </c>
      <c r="G458" s="114"/>
      <c r="H458" s="147">
        <v>160113</v>
      </c>
      <c r="I458" s="217" t="s">
        <v>24</v>
      </c>
      <c r="J458" s="212">
        <v>1</v>
      </c>
      <c r="K458" s="141">
        <f>ROUNDUP((H458-F458)/20,0)</f>
        <v>1</v>
      </c>
      <c r="L458" s="114"/>
      <c r="M458" s="114"/>
      <c r="N458" s="140"/>
      <c r="O458" s="110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  <c r="AA458" s="114"/>
      <c r="AB458" s="114"/>
      <c r="AC458" s="114"/>
      <c r="AD458" s="114"/>
      <c r="AE458" s="114"/>
      <c r="AF458" s="114"/>
      <c r="AG458" s="114"/>
    </row>
    <row r="459" spans="2:33" ht="12.75" customHeight="1" x14ac:dyDescent="0.2">
      <c r="B459" s="22">
        <v>1</v>
      </c>
      <c r="D459" s="114" t="s">
        <v>325</v>
      </c>
      <c r="E459" s="114" t="s">
        <v>753</v>
      </c>
      <c r="F459" s="146">
        <v>173406</v>
      </c>
      <c r="G459" s="114"/>
      <c r="H459" s="147">
        <v>173455</v>
      </c>
      <c r="I459" s="217" t="s">
        <v>24</v>
      </c>
      <c r="J459" s="212">
        <v>1</v>
      </c>
      <c r="K459" s="139"/>
      <c r="L459" s="114"/>
      <c r="M459" s="114"/>
      <c r="N459" s="114"/>
      <c r="O459" s="109">
        <f>H459-F459</f>
        <v>49</v>
      </c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  <c r="AA459" s="114"/>
      <c r="AB459" s="114"/>
      <c r="AC459" s="114"/>
      <c r="AD459" s="114"/>
      <c r="AE459" s="114"/>
      <c r="AF459" s="114"/>
      <c r="AG459" s="114"/>
    </row>
    <row r="460" spans="2:33" ht="12.75" customHeight="1" x14ac:dyDescent="0.2">
      <c r="B460" s="22">
        <v>1</v>
      </c>
      <c r="D460" s="114" t="s">
        <v>636</v>
      </c>
      <c r="E460" s="114" t="s">
        <v>753</v>
      </c>
      <c r="F460" s="146">
        <v>173406</v>
      </c>
      <c r="G460" s="114"/>
      <c r="H460" s="147">
        <v>173455</v>
      </c>
      <c r="I460" s="217" t="s">
        <v>24</v>
      </c>
      <c r="J460" s="212">
        <v>1</v>
      </c>
      <c r="K460" s="141">
        <f>ROUNDUP((H460-F460)/40,0)</f>
        <v>2</v>
      </c>
      <c r="L460" s="155"/>
      <c r="M460" s="155"/>
      <c r="N460" s="155"/>
      <c r="O460" s="199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14"/>
    </row>
    <row r="461" spans="2:33" ht="12.75" customHeight="1" x14ac:dyDescent="0.2">
      <c r="B461" s="22">
        <v>1</v>
      </c>
      <c r="D461" s="114" t="s">
        <v>326</v>
      </c>
      <c r="E461" s="114" t="s">
        <v>753</v>
      </c>
      <c r="F461" s="158">
        <v>173406</v>
      </c>
      <c r="G461" s="155"/>
      <c r="H461" s="158">
        <v>173455</v>
      </c>
      <c r="I461" s="218" t="s">
        <v>24</v>
      </c>
      <c r="J461" s="212">
        <v>1</v>
      </c>
      <c r="K461" s="163"/>
      <c r="L461" s="155"/>
      <c r="M461" s="155"/>
      <c r="N461" s="155"/>
      <c r="O461" s="199">
        <f>H461-F461</f>
        <v>49</v>
      </c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14"/>
      <c r="AG461" s="114"/>
    </row>
    <row r="462" spans="2:33" ht="12.75" customHeight="1" x14ac:dyDescent="0.2">
      <c r="B462" s="22">
        <v>1</v>
      </c>
      <c r="D462" s="114" t="s">
        <v>637</v>
      </c>
      <c r="E462" s="114" t="s">
        <v>753</v>
      </c>
      <c r="F462" s="158">
        <v>173406</v>
      </c>
      <c r="G462" s="155"/>
      <c r="H462" s="158">
        <v>173455</v>
      </c>
      <c r="I462" s="218" t="s">
        <v>24</v>
      </c>
      <c r="J462" s="212">
        <v>1</v>
      </c>
      <c r="K462" s="141">
        <f>ROUNDUP((H462-F462)/40,0)</f>
        <v>2</v>
      </c>
      <c r="L462" s="155"/>
      <c r="M462" s="155"/>
      <c r="N462" s="155"/>
      <c r="O462" s="199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14"/>
      <c r="AG462" s="114"/>
    </row>
    <row r="463" spans="2:33" ht="12.75" customHeight="1" x14ac:dyDescent="0.2">
      <c r="B463" s="22">
        <v>1</v>
      </c>
      <c r="D463" s="114" t="s">
        <v>327</v>
      </c>
      <c r="E463" s="114" t="s">
        <v>753</v>
      </c>
      <c r="F463" s="147">
        <v>173701</v>
      </c>
      <c r="G463" s="114"/>
      <c r="H463" s="147">
        <v>173800</v>
      </c>
      <c r="I463" s="217" t="s">
        <v>25</v>
      </c>
      <c r="J463" s="212">
        <v>1</v>
      </c>
      <c r="K463" s="139"/>
      <c r="L463" s="114"/>
      <c r="M463" s="114"/>
      <c r="N463" s="114"/>
      <c r="O463" s="109">
        <f>H463-F463</f>
        <v>99</v>
      </c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  <c r="AA463" s="114"/>
      <c r="AB463" s="114"/>
      <c r="AC463" s="114"/>
      <c r="AD463" s="114"/>
      <c r="AE463" s="114"/>
      <c r="AF463" s="114"/>
      <c r="AG463" s="114"/>
    </row>
    <row r="464" spans="2:33" ht="12.75" customHeight="1" x14ac:dyDescent="0.2">
      <c r="B464" s="22">
        <v>1</v>
      </c>
      <c r="D464" s="114" t="s">
        <v>652</v>
      </c>
      <c r="E464" s="114" t="s">
        <v>753</v>
      </c>
      <c r="F464" s="153">
        <v>173701</v>
      </c>
      <c r="G464" s="114"/>
      <c r="H464" s="153">
        <v>173800</v>
      </c>
      <c r="I464" s="217" t="s">
        <v>25</v>
      </c>
      <c r="J464" s="212">
        <v>1</v>
      </c>
      <c r="K464" s="141">
        <f>ROUNDUP((H464-F464)/40,0)</f>
        <v>3</v>
      </c>
      <c r="L464" s="114"/>
      <c r="M464" s="114"/>
      <c r="N464" s="114"/>
      <c r="O464" s="109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14"/>
      <c r="AG464" s="114"/>
    </row>
    <row r="465" spans="2:33" ht="12.75" customHeight="1" x14ac:dyDescent="0.2">
      <c r="B465" s="22">
        <v>1</v>
      </c>
      <c r="D465" s="114" t="s">
        <v>328</v>
      </c>
      <c r="E465" s="114" t="s">
        <v>753</v>
      </c>
      <c r="F465" s="146">
        <v>173698</v>
      </c>
      <c r="G465" s="114" t="s">
        <v>1</v>
      </c>
      <c r="H465" s="147">
        <v>173800</v>
      </c>
      <c r="I465" s="217" t="s">
        <v>25</v>
      </c>
      <c r="J465" s="212">
        <v>1</v>
      </c>
      <c r="K465" s="139"/>
      <c r="L465" s="114"/>
      <c r="M465" s="114"/>
      <c r="N465" s="114"/>
      <c r="O465" s="109">
        <f>H465-F465</f>
        <v>102</v>
      </c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55"/>
      <c r="AB465" s="155"/>
      <c r="AC465" s="155"/>
      <c r="AD465" s="155"/>
      <c r="AE465" s="155"/>
      <c r="AF465" s="155"/>
      <c r="AG465" s="155"/>
    </row>
    <row r="466" spans="2:33" ht="12.75" customHeight="1" x14ac:dyDescent="0.2">
      <c r="B466" s="22">
        <v>1</v>
      </c>
      <c r="D466" s="114" t="s">
        <v>653</v>
      </c>
      <c r="E466" s="114" t="s">
        <v>753</v>
      </c>
      <c r="F466" s="158">
        <v>173698</v>
      </c>
      <c r="G466" s="114" t="s">
        <v>1</v>
      </c>
      <c r="H466" s="158">
        <v>173800</v>
      </c>
      <c r="I466" s="217" t="s">
        <v>25</v>
      </c>
      <c r="J466" s="212">
        <v>1</v>
      </c>
      <c r="K466" s="141">
        <f>ROUNDUP((H466-F466)/40,0)</f>
        <v>3</v>
      </c>
      <c r="L466" s="114"/>
      <c r="M466" s="114"/>
      <c r="N466" s="114"/>
      <c r="O466" s="109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  <c r="AA466" s="155"/>
      <c r="AB466" s="155"/>
      <c r="AC466" s="155"/>
      <c r="AD466" s="155"/>
      <c r="AE466" s="155"/>
      <c r="AF466" s="155"/>
      <c r="AG466" s="155"/>
    </row>
    <row r="467" spans="2:33" ht="12.75" customHeight="1" x14ac:dyDescent="0.2">
      <c r="B467" s="22">
        <v>1</v>
      </c>
      <c r="D467" s="114" t="s">
        <v>329</v>
      </c>
      <c r="E467" s="114" t="s">
        <v>753</v>
      </c>
      <c r="F467" s="147">
        <v>173578</v>
      </c>
      <c r="G467" s="114"/>
      <c r="H467" s="147">
        <v>173666</v>
      </c>
      <c r="I467" s="217" t="s">
        <v>25</v>
      </c>
      <c r="J467" s="212">
        <v>1</v>
      </c>
      <c r="K467" s="139"/>
      <c r="L467" s="114"/>
      <c r="M467" s="114"/>
      <c r="N467" s="114"/>
      <c r="O467" s="109">
        <f>H467-F467</f>
        <v>88</v>
      </c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  <c r="AA467" s="114"/>
      <c r="AB467" s="114"/>
      <c r="AC467" s="114"/>
      <c r="AD467" s="114"/>
      <c r="AE467" s="114"/>
      <c r="AF467" s="114"/>
      <c r="AG467" s="114"/>
    </row>
    <row r="468" spans="2:33" ht="12.75" customHeight="1" x14ac:dyDescent="0.2">
      <c r="B468" s="22">
        <v>1</v>
      </c>
      <c r="D468" s="114" t="s">
        <v>654</v>
      </c>
      <c r="E468" s="114" t="s">
        <v>753</v>
      </c>
      <c r="F468" s="147">
        <v>173578</v>
      </c>
      <c r="G468" s="114"/>
      <c r="H468" s="147">
        <v>173666</v>
      </c>
      <c r="I468" s="217" t="s">
        <v>25</v>
      </c>
      <c r="J468" s="212">
        <v>1</v>
      </c>
      <c r="K468" s="141">
        <f>ROUNDUP((H468-F468)/40,0)</f>
        <v>3</v>
      </c>
      <c r="L468" s="114"/>
      <c r="M468" s="114"/>
      <c r="N468" s="114"/>
      <c r="O468" s="110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</row>
    <row r="469" spans="2:33" ht="12.75" customHeight="1" x14ac:dyDescent="0.2">
      <c r="B469" s="22">
        <v>1</v>
      </c>
      <c r="D469" s="114" t="s">
        <v>330</v>
      </c>
      <c r="E469" s="114" t="s">
        <v>753</v>
      </c>
      <c r="F469" s="147">
        <v>173609</v>
      </c>
      <c r="G469" s="114"/>
      <c r="H469" s="156"/>
      <c r="I469" s="217" t="s">
        <v>25</v>
      </c>
      <c r="J469" s="212">
        <v>1</v>
      </c>
      <c r="K469" s="139"/>
      <c r="L469" s="114"/>
      <c r="M469" s="114"/>
      <c r="N469" s="114"/>
      <c r="O469" s="110"/>
      <c r="P469" s="114"/>
      <c r="Q469" s="114"/>
      <c r="R469" s="114">
        <f>10*4</f>
        <v>40</v>
      </c>
      <c r="S469" s="114"/>
      <c r="T469" s="114"/>
      <c r="U469" s="114"/>
      <c r="V469" s="114"/>
      <c r="W469" s="114"/>
      <c r="X469" s="114"/>
      <c r="Y469" s="114"/>
      <c r="Z469" s="114"/>
      <c r="AA469" s="114"/>
      <c r="AB469" s="114"/>
      <c r="AC469" s="114"/>
      <c r="AD469" s="114"/>
      <c r="AE469" s="114"/>
      <c r="AF469" s="114"/>
      <c r="AG469" s="114"/>
    </row>
    <row r="470" spans="2:33" ht="12.6" customHeight="1" x14ac:dyDescent="0.2">
      <c r="B470" s="22">
        <v>1</v>
      </c>
      <c r="D470" s="114" t="s">
        <v>331</v>
      </c>
      <c r="E470" s="114" t="s">
        <v>753</v>
      </c>
      <c r="F470" s="147">
        <v>173638</v>
      </c>
      <c r="G470" s="114"/>
      <c r="H470" s="156"/>
      <c r="I470" s="217" t="s">
        <v>25</v>
      </c>
      <c r="J470" s="212">
        <v>1</v>
      </c>
      <c r="K470" s="139"/>
      <c r="L470" s="114"/>
      <c r="M470" s="114"/>
      <c r="N470" s="114"/>
      <c r="O470" s="114"/>
      <c r="P470" s="114"/>
      <c r="Q470" s="114"/>
      <c r="R470" s="114">
        <f>10*4</f>
        <v>40</v>
      </c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14"/>
      <c r="AG470" s="114"/>
    </row>
    <row r="471" spans="2:33" ht="12.75" customHeight="1" x14ac:dyDescent="0.2">
      <c r="B471" s="22">
        <v>1</v>
      </c>
      <c r="D471" s="114" t="s">
        <v>332</v>
      </c>
      <c r="E471" s="114" t="s">
        <v>753</v>
      </c>
      <c r="F471" s="147"/>
      <c r="G471" s="114"/>
      <c r="H471" s="147"/>
      <c r="I471" s="217" t="s">
        <v>24</v>
      </c>
      <c r="J471" s="212">
        <v>1</v>
      </c>
      <c r="K471" s="139"/>
      <c r="L471" s="114"/>
      <c r="M471" s="114"/>
      <c r="N471" s="114"/>
      <c r="O471" s="114"/>
      <c r="P471" s="114"/>
      <c r="Q471" s="114"/>
      <c r="R471" s="114"/>
      <c r="S471" s="114">
        <f>9</f>
        <v>9</v>
      </c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4"/>
    </row>
    <row r="472" spans="2:33" ht="12.75" customHeight="1" x14ac:dyDescent="0.2">
      <c r="B472" s="22">
        <v>1</v>
      </c>
      <c r="D472" s="114" t="s">
        <v>333</v>
      </c>
      <c r="E472" s="114" t="s">
        <v>753</v>
      </c>
      <c r="F472" s="147">
        <v>160115</v>
      </c>
      <c r="G472" s="114"/>
      <c r="H472" s="156"/>
      <c r="I472" s="217" t="s">
        <v>24</v>
      </c>
      <c r="J472" s="212">
        <v>1</v>
      </c>
      <c r="K472" s="139"/>
      <c r="L472" s="114"/>
      <c r="M472" s="114"/>
      <c r="N472" s="114"/>
      <c r="O472" s="114"/>
      <c r="P472" s="114"/>
      <c r="Q472" s="114"/>
      <c r="R472" s="114"/>
      <c r="S472" s="114"/>
      <c r="T472" s="114">
        <v>1</v>
      </c>
      <c r="U472" s="114"/>
      <c r="V472" s="114"/>
      <c r="W472" s="114"/>
      <c r="X472" s="114"/>
      <c r="Y472" s="114"/>
      <c r="Z472" s="114"/>
      <c r="AA472" s="114"/>
      <c r="AB472" s="114"/>
      <c r="AC472" s="114"/>
      <c r="AD472" s="114"/>
      <c r="AE472" s="114"/>
      <c r="AF472" s="114"/>
      <c r="AG472" s="114"/>
    </row>
    <row r="473" spans="2:33" ht="12.75" customHeight="1" x14ac:dyDescent="0.2">
      <c r="B473" s="22">
        <v>1</v>
      </c>
      <c r="D473" s="114" t="s">
        <v>334</v>
      </c>
      <c r="E473" s="114" t="s">
        <v>753</v>
      </c>
      <c r="F473" s="147">
        <v>173432</v>
      </c>
      <c r="G473" s="114"/>
      <c r="H473" s="156"/>
      <c r="I473" s="217" t="s">
        <v>24</v>
      </c>
      <c r="J473" s="212">
        <v>1</v>
      </c>
      <c r="K473" s="139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>
        <v>1</v>
      </c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14"/>
    </row>
    <row r="474" spans="2:33" ht="12.75" customHeight="1" x14ac:dyDescent="0.2">
      <c r="B474" s="22">
        <v>1</v>
      </c>
      <c r="D474" s="114" t="s">
        <v>335</v>
      </c>
      <c r="E474" s="114" t="s">
        <v>753</v>
      </c>
      <c r="F474" s="147">
        <v>173478</v>
      </c>
      <c r="G474" s="114"/>
      <c r="H474" s="156"/>
      <c r="I474" s="217" t="s">
        <v>24</v>
      </c>
      <c r="J474" s="212">
        <v>1</v>
      </c>
      <c r="K474" s="139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>
        <v>1</v>
      </c>
      <c r="V474" s="114"/>
      <c r="W474" s="110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</row>
    <row r="475" spans="2:33" ht="12.75" customHeight="1" x14ac:dyDescent="0.2">
      <c r="B475" s="22">
        <v>1</v>
      </c>
      <c r="D475" s="114" t="s">
        <v>336</v>
      </c>
      <c r="E475" s="114" t="s">
        <v>753</v>
      </c>
      <c r="F475" s="147">
        <v>173496</v>
      </c>
      <c r="G475" s="114"/>
      <c r="H475" s="156"/>
      <c r="I475" s="217" t="s">
        <v>24</v>
      </c>
      <c r="J475" s="212">
        <v>1</v>
      </c>
      <c r="K475" s="139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>
        <v>1</v>
      </c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14"/>
      <c r="AG475" s="114"/>
    </row>
    <row r="476" spans="2:33" ht="12.75" customHeight="1" x14ac:dyDescent="0.2">
      <c r="B476" s="22">
        <v>1</v>
      </c>
      <c r="D476" s="114" t="s">
        <v>337</v>
      </c>
      <c r="E476" s="114" t="s">
        <v>753</v>
      </c>
      <c r="F476" s="147">
        <v>173548</v>
      </c>
      <c r="G476" s="114"/>
      <c r="H476" s="156"/>
      <c r="I476" s="217" t="s">
        <v>24</v>
      </c>
      <c r="J476" s="212">
        <v>1</v>
      </c>
      <c r="K476" s="139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>
        <v>1</v>
      </c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</row>
    <row r="477" spans="2:33" ht="12.75" customHeight="1" x14ac:dyDescent="0.2">
      <c r="B477" s="22">
        <v>1</v>
      </c>
      <c r="D477" s="114" t="s">
        <v>338</v>
      </c>
      <c r="E477" s="114" t="s">
        <v>753</v>
      </c>
      <c r="F477" s="147">
        <v>173568</v>
      </c>
      <c r="G477" s="114"/>
      <c r="H477" s="156"/>
      <c r="I477" s="217" t="s">
        <v>24</v>
      </c>
      <c r="J477" s="212">
        <v>1</v>
      </c>
      <c r="K477" s="139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>
        <v>1</v>
      </c>
      <c r="V477" s="114"/>
      <c r="W477" s="114"/>
      <c r="X477" s="114"/>
      <c r="Y477" s="114"/>
      <c r="Z477" s="114"/>
      <c r="AA477" s="114"/>
      <c r="AB477" s="114"/>
      <c r="AC477" s="114"/>
      <c r="AD477" s="114"/>
      <c r="AE477" s="114"/>
      <c r="AF477" s="114"/>
      <c r="AG477" s="114"/>
    </row>
    <row r="478" spans="2:33" ht="12.75" customHeight="1" x14ac:dyDescent="0.2">
      <c r="B478" s="22">
        <v>1</v>
      </c>
      <c r="D478" s="114" t="s">
        <v>339</v>
      </c>
      <c r="E478" s="114" t="s">
        <v>753</v>
      </c>
      <c r="F478" s="147">
        <v>173569</v>
      </c>
      <c r="G478" s="114"/>
      <c r="H478" s="156"/>
      <c r="I478" s="217" t="s">
        <v>25</v>
      </c>
      <c r="J478" s="212">
        <v>1</v>
      </c>
      <c r="K478" s="139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>
        <v>1</v>
      </c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14"/>
      <c r="AG478" s="114"/>
    </row>
    <row r="479" spans="2:33" ht="12.75" customHeight="1" x14ac:dyDescent="0.2">
      <c r="B479" s="22">
        <v>1</v>
      </c>
      <c r="D479" s="114" t="s">
        <v>340</v>
      </c>
      <c r="E479" s="114" t="s">
        <v>753</v>
      </c>
      <c r="F479" s="147">
        <v>173641</v>
      </c>
      <c r="G479" s="114"/>
      <c r="H479" s="156"/>
      <c r="I479" s="217" t="s">
        <v>24</v>
      </c>
      <c r="J479" s="212">
        <v>1</v>
      </c>
      <c r="K479" s="139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>
        <v>1</v>
      </c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14"/>
    </row>
    <row r="480" spans="2:33" ht="12.75" customHeight="1" x14ac:dyDescent="0.2">
      <c r="B480" s="22">
        <v>1</v>
      </c>
      <c r="D480" s="114" t="s">
        <v>341</v>
      </c>
      <c r="E480" s="114" t="s">
        <v>753</v>
      </c>
      <c r="F480" s="147">
        <v>173617</v>
      </c>
      <c r="G480" s="114"/>
      <c r="H480" s="156"/>
      <c r="I480" s="217" t="s">
        <v>25</v>
      </c>
      <c r="J480" s="212">
        <v>1</v>
      </c>
      <c r="K480" s="139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>
        <v>1</v>
      </c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14"/>
      <c r="AG480" s="114"/>
    </row>
    <row r="481" spans="2:33" ht="12.75" customHeight="1" x14ac:dyDescent="0.2">
      <c r="B481" s="22">
        <v>1</v>
      </c>
      <c r="D481" s="114" t="s">
        <v>342</v>
      </c>
      <c r="E481" s="114" t="s">
        <v>753</v>
      </c>
      <c r="F481" s="147">
        <v>173617</v>
      </c>
      <c r="G481" s="114"/>
      <c r="H481" s="156"/>
      <c r="I481" s="217" t="s">
        <v>25</v>
      </c>
      <c r="J481" s="212">
        <v>1</v>
      </c>
      <c r="K481" s="139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>
        <v>1</v>
      </c>
      <c r="V481" s="114"/>
      <c r="W481" s="114"/>
      <c r="X481" s="114"/>
      <c r="Y481" s="114"/>
      <c r="Z481" s="114"/>
      <c r="AA481" s="114"/>
      <c r="AB481" s="114"/>
      <c r="AC481" s="114"/>
      <c r="AD481" s="114"/>
      <c r="AE481" s="114"/>
      <c r="AF481" s="114"/>
      <c r="AG481" s="114"/>
    </row>
    <row r="482" spans="2:33" ht="12.75" customHeight="1" x14ac:dyDescent="0.2">
      <c r="B482" s="22">
        <v>1</v>
      </c>
      <c r="D482" s="114" t="s">
        <v>343</v>
      </c>
      <c r="E482" s="114" t="s">
        <v>753</v>
      </c>
      <c r="F482" s="147">
        <v>173697</v>
      </c>
      <c r="G482" s="114"/>
      <c r="H482" s="156"/>
      <c r="I482" s="217" t="s">
        <v>25</v>
      </c>
      <c r="J482" s="212">
        <v>1</v>
      </c>
      <c r="K482" s="139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>
        <v>1</v>
      </c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14"/>
    </row>
    <row r="483" spans="2:33" ht="12.75" customHeight="1" x14ac:dyDescent="0.2">
      <c r="B483" s="22">
        <v>1</v>
      </c>
      <c r="D483" s="114" t="s">
        <v>344</v>
      </c>
      <c r="E483" s="114" t="s">
        <v>753</v>
      </c>
      <c r="F483" s="147">
        <v>173711</v>
      </c>
      <c r="G483" s="114"/>
      <c r="H483" s="156"/>
      <c r="I483" s="217" t="s">
        <v>25</v>
      </c>
      <c r="J483" s="212">
        <v>1</v>
      </c>
      <c r="K483" s="139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>
        <v>1</v>
      </c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14"/>
    </row>
    <row r="484" spans="2:33" ht="12.75" customHeight="1" x14ac:dyDescent="0.2">
      <c r="B484" s="22">
        <v>1</v>
      </c>
      <c r="D484" s="114" t="s">
        <v>345</v>
      </c>
      <c r="E484" s="114" t="s">
        <v>753</v>
      </c>
      <c r="F484" s="147">
        <v>173712</v>
      </c>
      <c r="G484" s="114"/>
      <c r="H484" s="156"/>
      <c r="I484" s="217" t="s">
        <v>25</v>
      </c>
      <c r="J484" s="212">
        <v>1</v>
      </c>
      <c r="K484" s="139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>
        <v>1</v>
      </c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14"/>
      <c r="AG484" s="114"/>
    </row>
    <row r="485" spans="2:33" ht="12.75" customHeight="1" x14ac:dyDescent="0.2">
      <c r="B485" s="22">
        <v>1</v>
      </c>
      <c r="D485" s="114" t="s">
        <v>346</v>
      </c>
      <c r="E485" s="114" t="s">
        <v>753</v>
      </c>
      <c r="F485" s="147">
        <v>173789</v>
      </c>
      <c r="G485" s="114"/>
      <c r="H485" s="156"/>
      <c r="I485" s="217" t="s">
        <v>25</v>
      </c>
      <c r="J485" s="212">
        <v>1</v>
      </c>
      <c r="K485" s="139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>
        <v>1</v>
      </c>
      <c r="V485" s="114"/>
      <c r="W485" s="114"/>
      <c r="X485" s="114"/>
      <c r="Y485" s="114"/>
      <c r="Z485" s="114"/>
      <c r="AA485" s="114"/>
      <c r="AB485" s="114"/>
      <c r="AC485" s="114"/>
      <c r="AD485" s="114"/>
      <c r="AE485" s="114"/>
      <c r="AF485" s="114"/>
      <c r="AG485" s="114"/>
    </row>
    <row r="486" spans="2:33" ht="12.75" customHeight="1" x14ac:dyDescent="0.2">
      <c r="B486" s="22">
        <v>1</v>
      </c>
      <c r="D486" s="114" t="s">
        <v>347</v>
      </c>
      <c r="E486" s="114" t="s">
        <v>753</v>
      </c>
      <c r="F486" s="147">
        <v>173790</v>
      </c>
      <c r="G486" s="114"/>
      <c r="H486" s="156"/>
      <c r="I486" s="217" t="s">
        <v>24</v>
      </c>
      <c r="J486" s="212">
        <v>1</v>
      </c>
      <c r="K486" s="139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>
        <v>1</v>
      </c>
      <c r="V486" s="114"/>
      <c r="W486" s="110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</row>
    <row r="487" spans="2:33" ht="12.75" customHeight="1" x14ac:dyDescent="0.2">
      <c r="B487" s="22">
        <v>1</v>
      </c>
      <c r="D487" s="114" t="s">
        <v>348</v>
      </c>
      <c r="E487" s="114" t="s">
        <v>753</v>
      </c>
      <c r="F487" s="147">
        <v>173335</v>
      </c>
      <c r="G487" s="114"/>
      <c r="H487" s="147">
        <v>173406</v>
      </c>
      <c r="I487" s="217" t="s">
        <v>24</v>
      </c>
      <c r="J487" s="212">
        <v>1</v>
      </c>
      <c r="K487" s="139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09">
        <f>H487-F487</f>
        <v>71</v>
      </c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</row>
    <row r="488" spans="2:33" ht="12.75" customHeight="1" x14ac:dyDescent="0.2">
      <c r="B488" s="22">
        <v>1</v>
      </c>
      <c r="D488" s="114" t="s">
        <v>349</v>
      </c>
      <c r="E488" s="114" t="s">
        <v>753</v>
      </c>
      <c r="F488" s="147">
        <v>173566</v>
      </c>
      <c r="G488" s="114"/>
      <c r="H488" s="147">
        <v>173600</v>
      </c>
      <c r="I488" s="217" t="s">
        <v>24</v>
      </c>
      <c r="J488" s="212">
        <v>1</v>
      </c>
      <c r="K488" s="139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>
        <f>113</f>
        <v>113</v>
      </c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14"/>
    </row>
    <row r="489" spans="2:33" ht="12.75" customHeight="1" x14ac:dyDescent="0.2">
      <c r="B489" s="22">
        <v>1</v>
      </c>
      <c r="D489" s="114" t="s">
        <v>350</v>
      </c>
      <c r="E489" s="114" t="s">
        <v>753</v>
      </c>
      <c r="F489" s="147">
        <v>173573</v>
      </c>
      <c r="G489" s="114"/>
      <c r="H489" s="147">
        <v>173609</v>
      </c>
      <c r="I489" s="217" t="s">
        <v>24</v>
      </c>
      <c r="J489" s="212">
        <v>1</v>
      </c>
      <c r="K489" s="139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09">
        <f>H489-F489</f>
        <v>36</v>
      </c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</row>
    <row r="490" spans="2:33" ht="12.75" customHeight="1" x14ac:dyDescent="0.2">
      <c r="B490" s="22">
        <v>1</v>
      </c>
      <c r="D490" s="114" t="s">
        <v>351</v>
      </c>
      <c r="E490" s="114" t="s">
        <v>753</v>
      </c>
      <c r="F490" s="147">
        <v>173650</v>
      </c>
      <c r="G490" s="114"/>
      <c r="H490" s="147">
        <v>173725</v>
      </c>
      <c r="I490" s="217" t="s">
        <v>24</v>
      </c>
      <c r="J490" s="212">
        <v>1</v>
      </c>
      <c r="K490" s="139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09">
        <f>H490-F490</f>
        <v>75</v>
      </c>
      <c r="X490" s="114"/>
      <c r="Y490" s="114"/>
      <c r="Z490" s="114"/>
      <c r="AA490" s="114"/>
      <c r="AB490" s="114"/>
      <c r="AC490" s="114"/>
      <c r="AD490" s="114"/>
      <c r="AE490" s="114"/>
      <c r="AF490" s="114"/>
      <c r="AG490" s="114"/>
    </row>
    <row r="491" spans="2:33" ht="12.75" customHeight="1" x14ac:dyDescent="0.2">
      <c r="B491" s="22">
        <v>1</v>
      </c>
      <c r="D491" s="114" t="s">
        <v>352</v>
      </c>
      <c r="E491" s="114" t="s">
        <v>753</v>
      </c>
      <c r="F491" s="147">
        <v>173666</v>
      </c>
      <c r="G491" s="114"/>
      <c r="H491" s="147">
        <v>173685</v>
      </c>
      <c r="I491" s="217" t="s">
        <v>25</v>
      </c>
      <c r="J491" s="212">
        <v>1</v>
      </c>
      <c r="K491" s="139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>
        <f>14+23</f>
        <v>37</v>
      </c>
      <c r="X491" s="114"/>
      <c r="Y491" s="114"/>
      <c r="Z491" s="114"/>
      <c r="AA491" s="114"/>
      <c r="AB491" s="114"/>
      <c r="AC491" s="114"/>
      <c r="AD491" s="114"/>
      <c r="AE491" s="114"/>
      <c r="AF491" s="114"/>
      <c r="AG491" s="114"/>
    </row>
    <row r="492" spans="2:33" ht="12.75" customHeight="1" x14ac:dyDescent="0.2">
      <c r="B492" s="22">
        <v>1</v>
      </c>
      <c r="D492" s="114" t="s">
        <v>353</v>
      </c>
      <c r="E492" s="114" t="s">
        <v>753</v>
      </c>
      <c r="F492" s="147">
        <v>173680</v>
      </c>
      <c r="G492" s="114"/>
      <c r="H492" s="147">
        <v>173704</v>
      </c>
      <c r="I492" s="217" t="s">
        <v>25</v>
      </c>
      <c r="J492" s="212">
        <v>1</v>
      </c>
      <c r="K492" s="139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>
        <f>29+25</f>
        <v>54</v>
      </c>
      <c r="X492" s="114"/>
      <c r="Y492" s="114"/>
      <c r="Z492" s="114"/>
      <c r="AA492" s="114"/>
      <c r="AB492" s="114"/>
      <c r="AC492" s="114"/>
      <c r="AD492" s="114"/>
      <c r="AE492" s="114"/>
      <c r="AF492" s="114"/>
      <c r="AG492" s="114"/>
    </row>
    <row r="493" spans="2:33" ht="12.75" customHeight="1" thickBot="1" x14ac:dyDescent="0.25">
      <c r="B493" s="22">
        <v>1</v>
      </c>
      <c r="D493" s="114" t="s">
        <v>354</v>
      </c>
      <c r="E493" s="114" t="s">
        <v>753</v>
      </c>
      <c r="F493" s="147">
        <v>173566</v>
      </c>
      <c r="G493" s="114"/>
      <c r="H493" s="156"/>
      <c r="I493" s="217" t="s">
        <v>24</v>
      </c>
      <c r="J493" s="212">
        <v>1</v>
      </c>
      <c r="K493" s="139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>
        <v>16</v>
      </c>
      <c r="Y493" s="114"/>
      <c r="Z493" s="114"/>
      <c r="AA493" s="114"/>
      <c r="AB493" s="114"/>
      <c r="AC493" s="114"/>
      <c r="AD493" s="114"/>
      <c r="AE493" s="114"/>
      <c r="AF493" s="114"/>
      <c r="AG493" s="114"/>
    </row>
    <row r="494" spans="2:33" ht="12.75" customHeight="1" x14ac:dyDescent="0.2">
      <c r="B494" s="5" t="s">
        <v>11</v>
      </c>
      <c r="D494" s="271" t="s">
        <v>767</v>
      </c>
      <c r="E494" s="272"/>
      <c r="F494" s="272"/>
      <c r="G494" s="272"/>
      <c r="H494" s="272"/>
      <c r="I494" s="272"/>
      <c r="J494" s="272"/>
      <c r="K494" s="173">
        <f t="shared" ref="K494:AG494" si="70">SUM(K443:K493)</f>
        <v>32</v>
      </c>
      <c r="L494" s="173">
        <f t="shared" si="70"/>
        <v>0</v>
      </c>
      <c r="M494" s="173">
        <f t="shared" si="70"/>
        <v>5.1893939393939388E-2</v>
      </c>
      <c r="N494" s="173">
        <f t="shared" si="70"/>
        <v>2.9545454545454541E-2</v>
      </c>
      <c r="O494" s="173">
        <f t="shared" si="70"/>
        <v>387</v>
      </c>
      <c r="P494" s="173">
        <f t="shared" si="70"/>
        <v>0</v>
      </c>
      <c r="Q494" s="173">
        <f t="shared" si="70"/>
        <v>0</v>
      </c>
      <c r="R494" s="173">
        <f t="shared" si="70"/>
        <v>80</v>
      </c>
      <c r="S494" s="173">
        <f t="shared" si="70"/>
        <v>9</v>
      </c>
      <c r="T494" s="173">
        <f t="shared" si="70"/>
        <v>1</v>
      </c>
      <c r="U494" s="173">
        <f t="shared" si="70"/>
        <v>14</v>
      </c>
      <c r="V494" s="173">
        <f t="shared" si="70"/>
        <v>0</v>
      </c>
      <c r="W494" s="173">
        <f t="shared" si="70"/>
        <v>386</v>
      </c>
      <c r="X494" s="173">
        <f t="shared" si="70"/>
        <v>16</v>
      </c>
      <c r="Y494" s="173">
        <f t="shared" si="70"/>
        <v>0</v>
      </c>
      <c r="Z494" s="173">
        <f t="shared" si="70"/>
        <v>0</v>
      </c>
      <c r="AA494" s="173">
        <f t="shared" si="70"/>
        <v>0</v>
      </c>
      <c r="AB494" s="173">
        <f t="shared" si="70"/>
        <v>0</v>
      </c>
      <c r="AC494" s="173">
        <f t="shared" si="70"/>
        <v>0</v>
      </c>
      <c r="AD494" s="173">
        <f t="shared" si="70"/>
        <v>0</v>
      </c>
      <c r="AE494" s="173">
        <f t="shared" si="70"/>
        <v>0</v>
      </c>
      <c r="AF494" s="173">
        <f t="shared" si="70"/>
        <v>0</v>
      </c>
      <c r="AG494" s="173">
        <f t="shared" si="70"/>
        <v>0</v>
      </c>
    </row>
    <row r="495" spans="2:33" ht="12.75" customHeight="1" x14ac:dyDescent="0.2">
      <c r="D495" s="191" t="s">
        <v>701</v>
      </c>
      <c r="E495" s="192"/>
      <c r="F495" s="192"/>
      <c r="G495" s="192"/>
      <c r="H495" s="192"/>
      <c r="I495" s="214"/>
      <c r="J495" s="214"/>
      <c r="K495" s="193">
        <f>SUMIF(J443:J493, 1, K443:K493)</f>
        <v>32</v>
      </c>
      <c r="L495" s="193">
        <f t="shared" ref="L495:AG495" si="71">SUMIF($J443:$J493, 1, L443:L493)</f>
        <v>0</v>
      </c>
      <c r="M495" s="193">
        <f t="shared" si="71"/>
        <v>5.1893939393939388E-2</v>
      </c>
      <c r="N495" s="193">
        <f t="shared" si="71"/>
        <v>2.9545454545454541E-2</v>
      </c>
      <c r="O495" s="193">
        <f t="shared" si="71"/>
        <v>387</v>
      </c>
      <c r="P495" s="193">
        <f t="shared" si="71"/>
        <v>0</v>
      </c>
      <c r="Q495" s="193">
        <f t="shared" si="71"/>
        <v>0</v>
      </c>
      <c r="R495" s="193">
        <f t="shared" si="71"/>
        <v>80</v>
      </c>
      <c r="S495" s="193">
        <f t="shared" si="71"/>
        <v>9</v>
      </c>
      <c r="T495" s="193">
        <f t="shared" si="71"/>
        <v>1</v>
      </c>
      <c r="U495" s="193">
        <f t="shared" si="71"/>
        <v>14</v>
      </c>
      <c r="V495" s="193">
        <f t="shared" si="71"/>
        <v>0</v>
      </c>
      <c r="W495" s="193">
        <f t="shared" si="71"/>
        <v>386</v>
      </c>
      <c r="X495" s="193">
        <f t="shared" si="71"/>
        <v>16</v>
      </c>
      <c r="Y495" s="193">
        <f t="shared" si="71"/>
        <v>0</v>
      </c>
      <c r="Z495" s="193">
        <f t="shared" si="71"/>
        <v>0</v>
      </c>
      <c r="AA495" s="193">
        <f t="shared" si="71"/>
        <v>0</v>
      </c>
      <c r="AB495" s="193">
        <f t="shared" si="71"/>
        <v>0</v>
      </c>
      <c r="AC495" s="193">
        <f t="shared" si="71"/>
        <v>0</v>
      </c>
      <c r="AD495" s="193">
        <f t="shared" si="71"/>
        <v>0</v>
      </c>
      <c r="AE495" s="193">
        <f t="shared" si="71"/>
        <v>0</v>
      </c>
      <c r="AF495" s="193">
        <f t="shared" si="71"/>
        <v>0</v>
      </c>
      <c r="AG495" s="193">
        <f t="shared" si="71"/>
        <v>0</v>
      </c>
    </row>
    <row r="496" spans="2:33" ht="12.75" customHeight="1" x14ac:dyDescent="0.2">
      <c r="D496" s="191" t="s">
        <v>702</v>
      </c>
      <c r="E496" s="192"/>
      <c r="F496" s="192"/>
      <c r="G496" s="192"/>
      <c r="H496" s="192"/>
      <c r="I496" s="214"/>
      <c r="J496" s="214"/>
      <c r="K496" s="193">
        <f>SUMIF(J443:J493, 4, K443:K493)</f>
        <v>0</v>
      </c>
      <c r="L496" s="193">
        <f t="shared" ref="L496:AG496" si="72">SUMIF($J443:$J493, 4, L443:L493)</f>
        <v>0</v>
      </c>
      <c r="M496" s="193">
        <f t="shared" si="72"/>
        <v>0</v>
      </c>
      <c r="N496" s="193">
        <f t="shared" si="72"/>
        <v>0</v>
      </c>
      <c r="O496" s="193">
        <f t="shared" si="72"/>
        <v>0</v>
      </c>
      <c r="P496" s="193">
        <f t="shared" si="72"/>
        <v>0</v>
      </c>
      <c r="Q496" s="193">
        <f t="shared" si="72"/>
        <v>0</v>
      </c>
      <c r="R496" s="193">
        <f t="shared" si="72"/>
        <v>0</v>
      </c>
      <c r="S496" s="193">
        <f t="shared" si="72"/>
        <v>0</v>
      </c>
      <c r="T496" s="193">
        <f t="shared" si="72"/>
        <v>0</v>
      </c>
      <c r="U496" s="193">
        <f t="shared" si="72"/>
        <v>0</v>
      </c>
      <c r="V496" s="193">
        <f t="shared" si="72"/>
        <v>0</v>
      </c>
      <c r="W496" s="193">
        <f t="shared" si="72"/>
        <v>0</v>
      </c>
      <c r="X496" s="193">
        <f t="shared" si="72"/>
        <v>0</v>
      </c>
      <c r="Y496" s="193">
        <f t="shared" si="72"/>
        <v>0</v>
      </c>
      <c r="Z496" s="193">
        <f t="shared" si="72"/>
        <v>0</v>
      </c>
      <c r="AA496" s="193">
        <f t="shared" si="72"/>
        <v>0</v>
      </c>
      <c r="AB496" s="193">
        <f t="shared" si="72"/>
        <v>0</v>
      </c>
      <c r="AC496" s="193">
        <f t="shared" si="72"/>
        <v>0</v>
      </c>
      <c r="AD496" s="193">
        <f t="shared" si="72"/>
        <v>0</v>
      </c>
      <c r="AE496" s="193">
        <f t="shared" si="72"/>
        <v>0</v>
      </c>
      <c r="AF496" s="193">
        <f t="shared" si="72"/>
        <v>0</v>
      </c>
      <c r="AG496" s="193">
        <f t="shared" si="72"/>
        <v>0</v>
      </c>
    </row>
    <row r="497" spans="2:33" ht="12.75" customHeight="1" x14ac:dyDescent="0.2">
      <c r="D497" s="191" t="s">
        <v>703</v>
      </c>
      <c r="E497" s="192"/>
      <c r="F497" s="192"/>
      <c r="G497" s="192"/>
      <c r="H497" s="192"/>
      <c r="I497" s="214"/>
      <c r="J497" s="214"/>
      <c r="K497" s="193">
        <f>SUMIF(J443:J493, 6, K443:K493)</f>
        <v>0</v>
      </c>
      <c r="L497" s="193">
        <f t="shared" ref="L497:AG497" si="73">SUMIF($J443:$J493, 6, L443:L493)</f>
        <v>0</v>
      </c>
      <c r="M497" s="193">
        <f t="shared" si="73"/>
        <v>0</v>
      </c>
      <c r="N497" s="193">
        <f t="shared" si="73"/>
        <v>0</v>
      </c>
      <c r="O497" s="193">
        <f t="shared" si="73"/>
        <v>0</v>
      </c>
      <c r="P497" s="193">
        <f t="shared" si="73"/>
        <v>0</v>
      </c>
      <c r="Q497" s="193">
        <f t="shared" si="73"/>
        <v>0</v>
      </c>
      <c r="R497" s="193">
        <f t="shared" si="73"/>
        <v>0</v>
      </c>
      <c r="S497" s="193">
        <f t="shared" si="73"/>
        <v>0</v>
      </c>
      <c r="T497" s="193">
        <f t="shared" si="73"/>
        <v>0</v>
      </c>
      <c r="U497" s="193">
        <f t="shared" si="73"/>
        <v>0</v>
      </c>
      <c r="V497" s="193">
        <f t="shared" si="73"/>
        <v>0</v>
      </c>
      <c r="W497" s="193">
        <f t="shared" si="73"/>
        <v>0</v>
      </c>
      <c r="X497" s="193">
        <f t="shared" si="73"/>
        <v>0</v>
      </c>
      <c r="Y497" s="193">
        <f t="shared" si="73"/>
        <v>0</v>
      </c>
      <c r="Z497" s="193">
        <f t="shared" si="73"/>
        <v>0</v>
      </c>
      <c r="AA497" s="193">
        <f t="shared" si="73"/>
        <v>0</v>
      </c>
      <c r="AB497" s="193">
        <f t="shared" si="73"/>
        <v>0</v>
      </c>
      <c r="AC497" s="193">
        <f t="shared" si="73"/>
        <v>0</v>
      </c>
      <c r="AD497" s="193">
        <f t="shared" si="73"/>
        <v>0</v>
      </c>
      <c r="AE497" s="193">
        <f t="shared" si="73"/>
        <v>0</v>
      </c>
      <c r="AF497" s="193">
        <f t="shared" si="73"/>
        <v>0</v>
      </c>
      <c r="AG497" s="193">
        <f t="shared" si="73"/>
        <v>0</v>
      </c>
    </row>
    <row r="498" spans="2:33" ht="12.75" customHeight="1" thickBot="1" x14ac:dyDescent="0.25">
      <c r="I498" s="215"/>
      <c r="J498" s="215"/>
    </row>
    <row r="499" spans="2:33" ht="12.75" customHeight="1" thickBot="1" x14ac:dyDescent="0.25">
      <c r="B499" s="20" t="s">
        <v>9</v>
      </c>
      <c r="D499" s="277" t="str">
        <f>"SUBSUMMARY SHEET " &amp; B500</f>
        <v>SUBSUMMARY SHEET 7</v>
      </c>
      <c r="E499" s="277"/>
      <c r="F499" s="277"/>
      <c r="G499" s="277"/>
      <c r="H499" s="277"/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  <c r="AA499" s="277"/>
      <c r="AB499" s="277"/>
      <c r="AC499" s="277"/>
      <c r="AD499" s="277"/>
      <c r="AE499" s="277"/>
      <c r="AF499" s="194"/>
      <c r="AG499" s="194"/>
    </row>
    <row r="500" spans="2:33" ht="12.75" customHeight="1" thickBot="1" x14ac:dyDescent="0.25">
      <c r="B500" s="24">
        <v>7</v>
      </c>
      <c r="D500" s="279" t="s">
        <v>7</v>
      </c>
      <c r="E500" s="279"/>
      <c r="F500" s="279"/>
      <c r="G500" s="279"/>
      <c r="H500" s="279"/>
      <c r="I500" s="209"/>
      <c r="J500" s="209"/>
      <c r="K500" s="183" t="s">
        <v>26</v>
      </c>
      <c r="L500" s="183" t="s">
        <v>27</v>
      </c>
      <c r="M500" s="183" t="s">
        <v>693</v>
      </c>
      <c r="N500" s="183" t="s">
        <v>694</v>
      </c>
      <c r="O500" s="183" t="s">
        <v>40</v>
      </c>
      <c r="P500" s="183" t="s">
        <v>42</v>
      </c>
      <c r="Q500" s="183" t="s">
        <v>44</v>
      </c>
      <c r="R500" s="183" t="s">
        <v>705</v>
      </c>
      <c r="S500" s="183" t="s">
        <v>47</v>
      </c>
      <c r="T500" s="183" t="s">
        <v>49</v>
      </c>
      <c r="U500" s="183" t="s">
        <v>52</v>
      </c>
      <c r="V500" s="183" t="s">
        <v>53</v>
      </c>
      <c r="W500" s="183" t="s">
        <v>55</v>
      </c>
      <c r="X500" s="183" t="s">
        <v>57</v>
      </c>
      <c r="Y500" s="183" t="s">
        <v>63</v>
      </c>
      <c r="Z500" s="183" t="s">
        <v>65</v>
      </c>
      <c r="AA500" s="183" t="s">
        <v>707</v>
      </c>
      <c r="AB500" s="183" t="s">
        <v>709</v>
      </c>
      <c r="AC500" s="183" t="s">
        <v>70</v>
      </c>
      <c r="AD500" s="183" t="s">
        <v>71</v>
      </c>
      <c r="AE500" s="183" t="s">
        <v>72</v>
      </c>
      <c r="AF500" s="183" t="s">
        <v>73</v>
      </c>
      <c r="AG500" s="183" t="s">
        <v>688</v>
      </c>
    </row>
    <row r="501" spans="2:33" ht="12.75" customHeight="1" thickBot="1" x14ac:dyDescent="0.25">
      <c r="D501" s="280" t="s">
        <v>8</v>
      </c>
      <c r="E501" s="280"/>
      <c r="F501" s="280"/>
      <c r="G501" s="280"/>
      <c r="H501" s="280"/>
      <c r="I501" s="210"/>
      <c r="J501" s="210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  <c r="AA501" s="184"/>
      <c r="AB501" s="184"/>
      <c r="AC501" s="184"/>
      <c r="AD501" s="184"/>
      <c r="AE501" s="184"/>
      <c r="AF501" s="184"/>
      <c r="AG501" s="184"/>
    </row>
    <row r="502" spans="2:33" ht="12.75" customHeight="1" x14ac:dyDescent="0.2">
      <c r="B502" s="250" t="s">
        <v>10</v>
      </c>
      <c r="D502" s="253" t="s">
        <v>20</v>
      </c>
      <c r="E502" s="253" t="s">
        <v>21</v>
      </c>
      <c r="F502" s="256" t="s">
        <v>0</v>
      </c>
      <c r="G502" s="257"/>
      <c r="H502" s="257"/>
      <c r="I502" s="262" t="s">
        <v>23</v>
      </c>
      <c r="J502" s="274" t="s">
        <v>704</v>
      </c>
      <c r="K502" s="161" t="str">
        <f>IF(OR(TRIM(K500)=0,TRIM(K500)=""),"",IF(IFERROR(TRIM(INDEX(QryItemNamed,MATCH(TRIM(K500),ITEM,0),2)),"")="Y","SPECIAL",LEFT(IFERROR(TRIM(INDEX(ITEM,MATCH(TRIM(K500),ITEM,0))),""),3)))</f>
        <v>621</v>
      </c>
      <c r="L502" s="145" t="str">
        <f>IF(OR(TRIM(L500)=0,TRIM(L500)=""),"",IF(IFERROR(TRIM(INDEX(QryItemNamed,MATCH(TRIM(L500),ITEM,0),2)),"")="Y","SPECIAL",LEFT(IFERROR(TRIM(INDEX(ITEM,MATCH(TRIM(L500),ITEM,0))),""),3)))</f>
        <v>621</v>
      </c>
      <c r="M502" s="145">
        <v>642</v>
      </c>
      <c r="N502" s="145">
        <v>642</v>
      </c>
      <c r="O502" s="145">
        <v>644</v>
      </c>
      <c r="P502" s="145">
        <v>644</v>
      </c>
      <c r="Q502" s="145">
        <v>644</v>
      </c>
      <c r="R502" s="145">
        <v>644</v>
      </c>
      <c r="S502" s="145">
        <v>644</v>
      </c>
      <c r="T502" s="145" t="s">
        <v>124</v>
      </c>
      <c r="U502" s="145">
        <v>644</v>
      </c>
      <c r="V502" s="145">
        <v>644</v>
      </c>
      <c r="W502" s="145">
        <v>644</v>
      </c>
      <c r="X502" s="145">
        <v>644</v>
      </c>
      <c r="Y502" s="145">
        <v>644</v>
      </c>
      <c r="Z502" s="145">
        <v>644</v>
      </c>
      <c r="AA502" s="145">
        <v>646</v>
      </c>
      <c r="AB502" s="145">
        <v>646</v>
      </c>
      <c r="AC502" s="145" t="s">
        <v>124</v>
      </c>
      <c r="AD502" s="145" t="s">
        <v>675</v>
      </c>
      <c r="AE502" s="145" t="s">
        <v>675</v>
      </c>
      <c r="AF502" s="145" t="s">
        <v>675</v>
      </c>
      <c r="AG502" s="145">
        <v>874</v>
      </c>
    </row>
    <row r="503" spans="2:33" ht="12.75" customHeight="1" x14ac:dyDescent="0.2">
      <c r="B503" s="251"/>
      <c r="D503" s="254"/>
      <c r="E503" s="254"/>
      <c r="F503" s="258"/>
      <c r="G503" s="259"/>
      <c r="H503" s="259"/>
      <c r="I503" s="263"/>
      <c r="J503" s="275"/>
      <c r="K503" s="265" t="str">
        <f>IF(OR(TRIM(K500)=0,TRIM(K500)=""),IF(K501="","",K501),IF(IFERROR(TRIM(INDEX(QryItemNamed,MATCH(TRIM(K500),ITEM,0),2)),"")="Y",TRIM(RIGHT(IFERROR(TRIM(INDEX(QryItemNamed,MATCH(TRIM(K500),ITEM,0),4)),"123456789012"),LEN(IFERROR(TRIM(INDEX(QryItemNamed,MATCH(TRIM(K500),ITEM,0),4)),"123456789012"))-9))&amp;K501,IFERROR(TRIM(INDEX(QryItemNamed,MATCH(TRIM(K500),ITEM,0),4))&amp;K501,"ITEM CODE DOES NOT EXIST IN ITEM MASTER")))</f>
        <v>RPM</v>
      </c>
      <c r="L503" s="244" t="str">
        <f>IF(OR(TRIM(L500)=0,TRIM(L500)=""),IF(L501="","",L501),IF(IFERROR(TRIM(INDEX(QryItemNamed,MATCH(TRIM(L500),ITEM,0),2)),"")="Y",TRIM(RIGHT(IFERROR(TRIM(INDEX(QryItemNamed,MATCH(TRIM(L500),ITEM,0),4)),"123456789012"),LEN(IFERROR(TRIM(INDEX(QryItemNamed,MATCH(TRIM(L500),ITEM,0),4)),"123456789012"))-9))&amp;L501,IFERROR(TRIM(INDEX(QryItemNamed,MATCH(TRIM(L500),ITEM,0),4))&amp;L501,"ITEM CODE DOES NOT EXIST IN ITEM MASTER")))</f>
        <v>RAISED PAVEMENT MARKER REMOVED</v>
      </c>
      <c r="M503" s="278" t="s">
        <v>692</v>
      </c>
      <c r="N503" s="278" t="s">
        <v>695</v>
      </c>
      <c r="O503" s="278" t="s">
        <v>41</v>
      </c>
      <c r="P503" s="278" t="s">
        <v>43</v>
      </c>
      <c r="Q503" s="278" t="s">
        <v>45</v>
      </c>
      <c r="R503" s="278" t="s">
        <v>706</v>
      </c>
      <c r="S503" s="244" t="s">
        <v>48</v>
      </c>
      <c r="T503" s="244" t="s">
        <v>50</v>
      </c>
      <c r="U503" s="244" t="s">
        <v>59</v>
      </c>
      <c r="V503" s="244" t="s">
        <v>54</v>
      </c>
      <c r="W503" s="244" t="s">
        <v>56</v>
      </c>
      <c r="X503" s="268" t="s">
        <v>58</v>
      </c>
      <c r="Y503" s="268" t="s">
        <v>64</v>
      </c>
      <c r="Z503" s="268" t="s">
        <v>66</v>
      </c>
      <c r="AA503" s="244" t="s">
        <v>708</v>
      </c>
      <c r="AB503" s="244" t="s">
        <v>32</v>
      </c>
      <c r="AC503" s="244" t="s">
        <v>74</v>
      </c>
      <c r="AD503" s="244" t="s">
        <v>672</v>
      </c>
      <c r="AE503" s="244" t="s">
        <v>671</v>
      </c>
      <c r="AF503" s="244" t="s">
        <v>670</v>
      </c>
      <c r="AG503" s="244" t="s">
        <v>689</v>
      </c>
    </row>
    <row r="504" spans="2:33" ht="12.75" customHeight="1" x14ac:dyDescent="0.2">
      <c r="B504" s="251"/>
      <c r="D504" s="254"/>
      <c r="E504" s="254"/>
      <c r="F504" s="258"/>
      <c r="G504" s="259"/>
      <c r="H504" s="259"/>
      <c r="I504" s="263"/>
      <c r="J504" s="275"/>
      <c r="K504" s="266"/>
      <c r="L504" s="245"/>
      <c r="M504" s="278"/>
      <c r="N504" s="278"/>
      <c r="O504" s="278"/>
      <c r="P504" s="278"/>
      <c r="Q504" s="278"/>
      <c r="R504" s="278"/>
      <c r="S504" s="245"/>
      <c r="T504" s="245"/>
      <c r="U504" s="245"/>
      <c r="V504" s="245"/>
      <c r="W504" s="245"/>
      <c r="X504" s="269"/>
      <c r="Y504" s="269"/>
      <c r="Z504" s="269"/>
      <c r="AA504" s="245"/>
      <c r="AB504" s="245"/>
      <c r="AC504" s="245"/>
      <c r="AD504" s="245"/>
      <c r="AE504" s="245"/>
      <c r="AF504" s="245"/>
      <c r="AG504" s="245"/>
    </row>
    <row r="505" spans="2:33" ht="12.75" customHeight="1" x14ac:dyDescent="0.2">
      <c r="B505" s="251"/>
      <c r="D505" s="254"/>
      <c r="E505" s="254"/>
      <c r="F505" s="258"/>
      <c r="G505" s="259"/>
      <c r="H505" s="259"/>
      <c r="I505" s="263"/>
      <c r="J505" s="275"/>
      <c r="K505" s="266"/>
      <c r="L505" s="245"/>
      <c r="M505" s="278"/>
      <c r="N505" s="278"/>
      <c r="O505" s="278"/>
      <c r="P505" s="278"/>
      <c r="Q505" s="278"/>
      <c r="R505" s="278"/>
      <c r="S505" s="245"/>
      <c r="T505" s="245"/>
      <c r="U505" s="245"/>
      <c r="V505" s="245"/>
      <c r="W505" s="245"/>
      <c r="X505" s="269"/>
      <c r="Y505" s="269"/>
      <c r="Z505" s="269"/>
      <c r="AA505" s="245"/>
      <c r="AB505" s="245"/>
      <c r="AC505" s="245"/>
      <c r="AD505" s="245"/>
      <c r="AE505" s="245"/>
      <c r="AF505" s="245"/>
      <c r="AG505" s="245"/>
    </row>
    <row r="506" spans="2:33" ht="12.75" customHeight="1" x14ac:dyDescent="0.2">
      <c r="B506" s="251"/>
      <c r="D506" s="254"/>
      <c r="E506" s="254"/>
      <c r="F506" s="258"/>
      <c r="G506" s="259"/>
      <c r="H506" s="259"/>
      <c r="I506" s="263"/>
      <c r="J506" s="275"/>
      <c r="K506" s="266"/>
      <c r="L506" s="245"/>
      <c r="M506" s="278"/>
      <c r="N506" s="278"/>
      <c r="O506" s="278"/>
      <c r="P506" s="278"/>
      <c r="Q506" s="278"/>
      <c r="R506" s="278"/>
      <c r="S506" s="245"/>
      <c r="T506" s="245"/>
      <c r="U506" s="245"/>
      <c r="V506" s="245"/>
      <c r="W506" s="245"/>
      <c r="X506" s="269"/>
      <c r="Y506" s="269"/>
      <c r="Z506" s="269"/>
      <c r="AA506" s="245"/>
      <c r="AB506" s="245"/>
      <c r="AC506" s="245"/>
      <c r="AD506" s="245"/>
      <c r="AE506" s="245"/>
      <c r="AF506" s="245"/>
      <c r="AG506" s="245"/>
    </row>
    <row r="507" spans="2:33" ht="12.75" customHeight="1" x14ac:dyDescent="0.2">
      <c r="B507" s="251"/>
      <c r="D507" s="254"/>
      <c r="E507" s="254"/>
      <c r="F507" s="258"/>
      <c r="G507" s="259"/>
      <c r="H507" s="259"/>
      <c r="I507" s="263"/>
      <c r="J507" s="275"/>
      <c r="K507" s="266"/>
      <c r="L507" s="245"/>
      <c r="M507" s="278"/>
      <c r="N507" s="278"/>
      <c r="O507" s="278"/>
      <c r="P507" s="278"/>
      <c r="Q507" s="278"/>
      <c r="R507" s="278"/>
      <c r="S507" s="245"/>
      <c r="T507" s="245"/>
      <c r="U507" s="245"/>
      <c r="V507" s="245"/>
      <c r="W507" s="245"/>
      <c r="X507" s="269"/>
      <c r="Y507" s="269"/>
      <c r="Z507" s="269"/>
      <c r="AA507" s="245"/>
      <c r="AB507" s="245"/>
      <c r="AC507" s="245"/>
      <c r="AD507" s="245"/>
      <c r="AE507" s="245"/>
      <c r="AF507" s="245"/>
      <c r="AG507" s="245"/>
    </row>
    <row r="508" spans="2:33" ht="12.75" customHeight="1" x14ac:dyDescent="0.2">
      <c r="B508" s="251"/>
      <c r="D508" s="254"/>
      <c r="E508" s="254"/>
      <c r="F508" s="258"/>
      <c r="G508" s="259"/>
      <c r="H508" s="259"/>
      <c r="I508" s="263"/>
      <c r="J508" s="275"/>
      <c r="K508" s="266"/>
      <c r="L508" s="245"/>
      <c r="M508" s="278"/>
      <c r="N508" s="278"/>
      <c r="O508" s="278"/>
      <c r="P508" s="278"/>
      <c r="Q508" s="278"/>
      <c r="R508" s="278"/>
      <c r="S508" s="245"/>
      <c r="T508" s="245"/>
      <c r="U508" s="245"/>
      <c r="V508" s="245"/>
      <c r="W508" s="245"/>
      <c r="X508" s="269"/>
      <c r="Y508" s="269"/>
      <c r="Z508" s="269"/>
      <c r="AA508" s="245"/>
      <c r="AB508" s="245"/>
      <c r="AC508" s="245"/>
      <c r="AD508" s="245"/>
      <c r="AE508" s="245"/>
      <c r="AF508" s="245"/>
      <c r="AG508" s="245"/>
    </row>
    <row r="509" spans="2:33" ht="12.75" customHeight="1" x14ac:dyDescent="0.2">
      <c r="B509" s="251"/>
      <c r="D509" s="254"/>
      <c r="E509" s="254"/>
      <c r="F509" s="258"/>
      <c r="G509" s="259"/>
      <c r="H509" s="259"/>
      <c r="I509" s="263"/>
      <c r="J509" s="275"/>
      <c r="K509" s="266"/>
      <c r="L509" s="245"/>
      <c r="M509" s="278"/>
      <c r="N509" s="278"/>
      <c r="O509" s="278"/>
      <c r="P509" s="278"/>
      <c r="Q509" s="278"/>
      <c r="R509" s="278"/>
      <c r="S509" s="245"/>
      <c r="T509" s="245"/>
      <c r="U509" s="245"/>
      <c r="V509" s="245"/>
      <c r="W509" s="245"/>
      <c r="X509" s="269"/>
      <c r="Y509" s="269"/>
      <c r="Z509" s="269"/>
      <c r="AA509" s="245"/>
      <c r="AB509" s="245"/>
      <c r="AC509" s="245"/>
      <c r="AD509" s="245"/>
      <c r="AE509" s="245"/>
      <c r="AF509" s="245"/>
      <c r="AG509" s="245"/>
    </row>
    <row r="510" spans="2:33" ht="12.75" customHeight="1" x14ac:dyDescent="0.2">
      <c r="B510" s="251"/>
      <c r="D510" s="254"/>
      <c r="E510" s="254"/>
      <c r="F510" s="258"/>
      <c r="G510" s="259"/>
      <c r="H510" s="259"/>
      <c r="I510" s="263"/>
      <c r="J510" s="275"/>
      <c r="K510" s="266"/>
      <c r="L510" s="245"/>
      <c r="M510" s="278"/>
      <c r="N510" s="278"/>
      <c r="O510" s="278"/>
      <c r="P510" s="278"/>
      <c r="Q510" s="278"/>
      <c r="R510" s="278"/>
      <c r="S510" s="245"/>
      <c r="T510" s="245"/>
      <c r="U510" s="245"/>
      <c r="V510" s="245"/>
      <c r="W510" s="245"/>
      <c r="X510" s="269"/>
      <c r="Y510" s="269"/>
      <c r="Z510" s="269"/>
      <c r="AA510" s="245"/>
      <c r="AB510" s="245"/>
      <c r="AC510" s="245"/>
      <c r="AD510" s="245"/>
      <c r="AE510" s="245"/>
      <c r="AF510" s="245"/>
      <c r="AG510" s="245"/>
    </row>
    <row r="511" spans="2:33" ht="12.75" customHeight="1" x14ac:dyDescent="0.2">
      <c r="B511" s="251"/>
      <c r="D511" s="254"/>
      <c r="E511" s="254"/>
      <c r="F511" s="258"/>
      <c r="G511" s="259"/>
      <c r="H511" s="259"/>
      <c r="I511" s="263"/>
      <c r="J511" s="275"/>
      <c r="K511" s="266"/>
      <c r="L511" s="245"/>
      <c r="M511" s="278"/>
      <c r="N511" s="278"/>
      <c r="O511" s="278"/>
      <c r="P511" s="278"/>
      <c r="Q511" s="278"/>
      <c r="R511" s="278"/>
      <c r="S511" s="245"/>
      <c r="T511" s="245"/>
      <c r="U511" s="245"/>
      <c r="V511" s="245"/>
      <c r="W511" s="245"/>
      <c r="X511" s="269"/>
      <c r="Y511" s="269"/>
      <c r="Z511" s="269"/>
      <c r="AA511" s="245"/>
      <c r="AB511" s="245"/>
      <c r="AC511" s="245"/>
      <c r="AD511" s="245"/>
      <c r="AE511" s="245"/>
      <c r="AF511" s="245"/>
      <c r="AG511" s="245"/>
    </row>
    <row r="512" spans="2:33" ht="12.75" customHeight="1" x14ac:dyDescent="0.2">
      <c r="B512" s="251"/>
      <c r="D512" s="254"/>
      <c r="E512" s="254"/>
      <c r="F512" s="258"/>
      <c r="G512" s="259"/>
      <c r="H512" s="259"/>
      <c r="I512" s="263"/>
      <c r="J512" s="275"/>
      <c r="K512" s="266"/>
      <c r="L512" s="245"/>
      <c r="M512" s="278"/>
      <c r="N512" s="278"/>
      <c r="O512" s="278"/>
      <c r="P512" s="278"/>
      <c r="Q512" s="278"/>
      <c r="R512" s="278"/>
      <c r="S512" s="245"/>
      <c r="T512" s="245"/>
      <c r="U512" s="245"/>
      <c r="V512" s="245"/>
      <c r="W512" s="245"/>
      <c r="X512" s="269"/>
      <c r="Y512" s="269"/>
      <c r="Z512" s="269"/>
      <c r="AA512" s="245"/>
      <c r="AB512" s="245"/>
      <c r="AC512" s="245"/>
      <c r="AD512" s="245"/>
      <c r="AE512" s="245"/>
      <c r="AF512" s="245"/>
      <c r="AG512" s="245"/>
    </row>
    <row r="513" spans="2:33" ht="12.75" customHeight="1" x14ac:dyDescent="0.2">
      <c r="B513" s="251"/>
      <c r="D513" s="254"/>
      <c r="E513" s="254"/>
      <c r="F513" s="258"/>
      <c r="G513" s="259"/>
      <c r="H513" s="259"/>
      <c r="I513" s="263"/>
      <c r="J513" s="275"/>
      <c r="K513" s="266"/>
      <c r="L513" s="245"/>
      <c r="M513" s="278"/>
      <c r="N513" s="278"/>
      <c r="O513" s="278"/>
      <c r="P513" s="278"/>
      <c r="Q513" s="278"/>
      <c r="R513" s="278"/>
      <c r="S513" s="245"/>
      <c r="T513" s="245"/>
      <c r="U513" s="245"/>
      <c r="V513" s="245"/>
      <c r="W513" s="245"/>
      <c r="X513" s="269"/>
      <c r="Y513" s="269"/>
      <c r="Z513" s="269"/>
      <c r="AA513" s="245"/>
      <c r="AB513" s="245"/>
      <c r="AC513" s="245"/>
      <c r="AD513" s="245"/>
      <c r="AE513" s="245"/>
      <c r="AF513" s="245"/>
      <c r="AG513" s="245"/>
    </row>
    <row r="514" spans="2:33" ht="12.75" customHeight="1" x14ac:dyDescent="0.2">
      <c r="B514" s="251"/>
      <c r="D514" s="254"/>
      <c r="E514" s="254"/>
      <c r="F514" s="258"/>
      <c r="G514" s="259"/>
      <c r="H514" s="259"/>
      <c r="I514" s="263"/>
      <c r="J514" s="275"/>
      <c r="K514" s="267"/>
      <c r="L514" s="246"/>
      <c r="M514" s="278"/>
      <c r="N514" s="278"/>
      <c r="O514" s="278"/>
      <c r="P514" s="278"/>
      <c r="Q514" s="278"/>
      <c r="R514" s="278"/>
      <c r="S514" s="246"/>
      <c r="T514" s="246"/>
      <c r="U514" s="246"/>
      <c r="V514" s="246"/>
      <c r="W514" s="246"/>
      <c r="X514" s="270"/>
      <c r="Y514" s="270"/>
      <c r="Z514" s="270"/>
      <c r="AA514" s="246"/>
      <c r="AB514" s="246"/>
      <c r="AC514" s="246"/>
      <c r="AD514" s="246"/>
      <c r="AE514" s="246"/>
      <c r="AF514" s="246"/>
      <c r="AG514" s="246"/>
    </row>
    <row r="515" spans="2:33" ht="12.75" customHeight="1" thickBot="1" x14ac:dyDescent="0.25">
      <c r="B515" s="252"/>
      <c r="D515" s="255"/>
      <c r="E515" s="255"/>
      <c r="F515" s="260"/>
      <c r="G515" s="261"/>
      <c r="H515" s="261"/>
      <c r="I515" s="264"/>
      <c r="J515" s="276"/>
      <c r="K515" s="138" t="str">
        <f t="shared" ref="K515:O515" si="74">IF(OR(TRIM(K500)=0,TRIM(K500)=""),"",IFERROR(TRIM(INDEX(QryItemNamed,MATCH(TRIM(K500),ITEM,0),3)),""))</f>
        <v>EACH</v>
      </c>
      <c r="L515" s="102" t="str">
        <f t="shared" si="74"/>
        <v>EACH</v>
      </c>
      <c r="M515" s="102" t="str">
        <f t="shared" si="74"/>
        <v>MILE</v>
      </c>
      <c r="N515" s="102" t="str">
        <f t="shared" si="74"/>
        <v>MILE</v>
      </c>
      <c r="O515" s="102" t="str">
        <f t="shared" si="74"/>
        <v>FT</v>
      </c>
      <c r="P515" s="102" t="s">
        <v>46</v>
      </c>
      <c r="Q515" s="102" t="s">
        <v>46</v>
      </c>
      <c r="R515" s="102" t="s">
        <v>46</v>
      </c>
      <c r="S515" s="102" t="s">
        <v>46</v>
      </c>
      <c r="T515" s="102" t="s">
        <v>51</v>
      </c>
      <c r="U515" s="102" t="s">
        <v>51</v>
      </c>
      <c r="V515" s="102" t="s">
        <v>51</v>
      </c>
      <c r="W515" s="102" t="s">
        <v>46</v>
      </c>
      <c r="X515" s="102" t="s">
        <v>46</v>
      </c>
      <c r="Y515" s="102" t="s">
        <v>46</v>
      </c>
      <c r="Z515" s="102" t="s">
        <v>51</v>
      </c>
      <c r="AA515" s="102" t="s">
        <v>673</v>
      </c>
      <c r="AB515" s="102" t="s">
        <v>673</v>
      </c>
      <c r="AC515" s="102" t="s">
        <v>673</v>
      </c>
      <c r="AD515" s="102" t="s">
        <v>673</v>
      </c>
      <c r="AE515" s="102" t="s">
        <v>673</v>
      </c>
      <c r="AF515" s="102" t="s">
        <v>673</v>
      </c>
      <c r="AG515" s="102" t="s">
        <v>673</v>
      </c>
    </row>
    <row r="516" spans="2:33" ht="12.75" customHeight="1" x14ac:dyDescent="0.2">
      <c r="B516" s="22">
        <v>1</v>
      </c>
      <c r="D516" s="114" t="s">
        <v>355</v>
      </c>
      <c r="E516" s="114" t="s">
        <v>753</v>
      </c>
      <c r="F516" s="147">
        <v>173589</v>
      </c>
      <c r="G516" s="114"/>
      <c r="H516" s="156"/>
      <c r="I516" s="217" t="s">
        <v>24</v>
      </c>
      <c r="J516" s="212">
        <v>1</v>
      </c>
      <c r="K516" s="139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>
        <v>16</v>
      </c>
      <c r="Y516" s="114"/>
      <c r="Z516" s="114"/>
      <c r="AA516" s="114"/>
      <c r="AB516" s="114"/>
      <c r="AC516" s="114"/>
      <c r="AD516" s="114"/>
      <c r="AE516" s="114"/>
      <c r="AF516" s="114"/>
      <c r="AG516" s="114"/>
    </row>
    <row r="517" spans="2:33" ht="12.75" customHeight="1" x14ac:dyDescent="0.2">
      <c r="B517" s="22">
        <v>1</v>
      </c>
      <c r="D517" s="114" t="s">
        <v>356</v>
      </c>
      <c r="E517" s="114" t="s">
        <v>753</v>
      </c>
      <c r="F517" s="147">
        <v>173609</v>
      </c>
      <c r="G517" s="114"/>
      <c r="H517" s="156"/>
      <c r="I517" s="218" t="s">
        <v>25</v>
      </c>
      <c r="J517" s="212">
        <v>1</v>
      </c>
      <c r="K517" s="139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>
        <v>16</v>
      </c>
      <c r="Y517" s="114"/>
      <c r="Z517" s="114"/>
      <c r="AA517" s="114"/>
      <c r="AB517" s="114"/>
      <c r="AC517" s="114"/>
      <c r="AD517" s="114"/>
      <c r="AE517" s="114"/>
      <c r="AF517" s="114"/>
      <c r="AG517" s="114"/>
    </row>
    <row r="518" spans="2:33" ht="12.75" customHeight="1" x14ac:dyDescent="0.2">
      <c r="B518" s="22">
        <v>1</v>
      </c>
      <c r="D518" s="114" t="s">
        <v>357</v>
      </c>
      <c r="E518" s="114" t="s">
        <v>753</v>
      </c>
      <c r="F518" s="147">
        <v>173693</v>
      </c>
      <c r="G518" s="114"/>
      <c r="H518" s="156"/>
      <c r="I518" s="217" t="s">
        <v>24</v>
      </c>
      <c r="J518" s="212">
        <v>1</v>
      </c>
      <c r="K518" s="139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>
        <v>20</v>
      </c>
      <c r="Y518" s="114"/>
      <c r="Z518" s="114"/>
      <c r="AA518" s="114"/>
      <c r="AB518" s="114"/>
      <c r="AC518" s="114"/>
      <c r="AD518" s="114"/>
      <c r="AE518" s="114"/>
      <c r="AF518" s="114"/>
      <c r="AG518" s="114"/>
    </row>
    <row r="519" spans="2:33" ht="12.75" customHeight="1" x14ac:dyDescent="0.2">
      <c r="B519" s="22">
        <v>1</v>
      </c>
      <c r="D519" s="114" t="s">
        <v>358</v>
      </c>
      <c r="E519" s="114" t="s">
        <v>753</v>
      </c>
      <c r="F519" s="200">
        <v>173698</v>
      </c>
      <c r="G519" s="114"/>
      <c r="H519" s="156"/>
      <c r="I519" s="217" t="s">
        <v>25</v>
      </c>
      <c r="J519" s="212">
        <v>1</v>
      </c>
      <c r="K519" s="139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>
        <v>12</v>
      </c>
      <c r="Y519" s="114"/>
      <c r="Z519" s="114"/>
      <c r="AA519" s="114"/>
      <c r="AB519" s="114"/>
      <c r="AC519" s="114"/>
      <c r="AD519" s="114"/>
      <c r="AE519" s="114"/>
      <c r="AF519" s="114"/>
      <c r="AG519" s="114"/>
    </row>
    <row r="520" spans="2:33" ht="12.75" customHeight="1" x14ac:dyDescent="0.2">
      <c r="B520" s="22">
        <v>1</v>
      </c>
      <c r="D520" s="114" t="s">
        <v>359</v>
      </c>
      <c r="E520" s="114" t="s">
        <v>753</v>
      </c>
      <c r="F520" s="147">
        <v>173704</v>
      </c>
      <c r="G520" s="114"/>
      <c r="H520" s="156"/>
      <c r="I520" s="217" t="s">
        <v>25</v>
      </c>
      <c r="J520" s="212">
        <v>1</v>
      </c>
      <c r="K520" s="139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>
        <v>12</v>
      </c>
      <c r="Y520" s="114"/>
      <c r="Z520" s="114"/>
      <c r="AA520" s="114"/>
      <c r="AB520" s="114"/>
      <c r="AC520" s="114"/>
      <c r="AD520" s="114"/>
      <c r="AE520" s="114"/>
      <c r="AF520" s="114"/>
      <c r="AG520" s="114"/>
    </row>
    <row r="521" spans="2:33" ht="12.75" customHeight="1" x14ac:dyDescent="0.2">
      <c r="B521" s="22">
        <v>1</v>
      </c>
      <c r="D521" s="114" t="s">
        <v>379</v>
      </c>
      <c r="E521" s="114" t="s">
        <v>753</v>
      </c>
      <c r="F521" s="147">
        <v>173406</v>
      </c>
      <c r="G521" s="114"/>
      <c r="H521" s="147">
        <v>173455</v>
      </c>
      <c r="I521" s="217" t="s">
        <v>24</v>
      </c>
      <c r="J521" s="212">
        <v>1</v>
      </c>
      <c r="K521" s="139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>
        <f>2*(1.5+3+4+6)</f>
        <v>29</v>
      </c>
      <c r="Z521" s="114"/>
      <c r="AA521" s="114"/>
      <c r="AB521" s="114"/>
      <c r="AC521" s="114"/>
      <c r="AD521" s="114"/>
      <c r="AE521" s="114"/>
      <c r="AF521" s="114"/>
      <c r="AG521" s="114"/>
    </row>
    <row r="522" spans="2:33" ht="12.75" customHeight="1" x14ac:dyDescent="0.2">
      <c r="B522" s="22">
        <v>1</v>
      </c>
      <c r="D522" s="114" t="s">
        <v>380</v>
      </c>
      <c r="E522" s="114" t="s">
        <v>753</v>
      </c>
      <c r="F522" s="147">
        <v>173701</v>
      </c>
      <c r="G522" s="114"/>
      <c r="H522" s="147">
        <v>173800</v>
      </c>
      <c r="I522" s="217" t="s">
        <v>25</v>
      </c>
      <c r="J522" s="212">
        <v>1</v>
      </c>
      <c r="K522" s="139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>
        <f>2*5*4</f>
        <v>40</v>
      </c>
      <c r="Z522" s="114"/>
      <c r="AA522" s="114"/>
      <c r="AB522" s="114"/>
      <c r="AC522" s="114"/>
      <c r="AD522" s="114"/>
      <c r="AE522" s="114"/>
      <c r="AF522" s="114"/>
      <c r="AG522" s="114"/>
    </row>
    <row r="523" spans="2:33" ht="12.75" customHeight="1" x14ac:dyDescent="0.2">
      <c r="B523" s="22">
        <v>1</v>
      </c>
      <c r="D523" s="114" t="s">
        <v>360</v>
      </c>
      <c r="E523" s="114" t="s">
        <v>753</v>
      </c>
      <c r="F523" s="147">
        <v>173631</v>
      </c>
      <c r="G523" s="114"/>
      <c r="H523" s="156"/>
      <c r="I523" s="217" t="s">
        <v>25</v>
      </c>
      <c r="J523" s="212">
        <v>1</v>
      </c>
      <c r="K523" s="139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>
        <v>1</v>
      </c>
      <c r="AA523" s="114"/>
      <c r="AB523" s="114"/>
      <c r="AC523" s="114"/>
      <c r="AD523" s="114"/>
      <c r="AE523" s="114"/>
      <c r="AF523" s="114"/>
      <c r="AG523" s="114"/>
    </row>
    <row r="524" spans="2:33" ht="12.75" customHeight="1" x14ac:dyDescent="0.2">
      <c r="B524" s="22">
        <v>1</v>
      </c>
      <c r="D524" s="114" t="s">
        <v>361</v>
      </c>
      <c r="E524" s="114" t="s">
        <v>753</v>
      </c>
      <c r="F524" s="147">
        <v>173631</v>
      </c>
      <c r="G524" s="114"/>
      <c r="H524" s="156"/>
      <c r="I524" s="217" t="s">
        <v>25</v>
      </c>
      <c r="J524" s="212">
        <v>1</v>
      </c>
      <c r="K524" s="139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>
        <v>1</v>
      </c>
      <c r="AA524" s="114"/>
      <c r="AB524" s="114"/>
      <c r="AC524" s="114"/>
      <c r="AD524" s="114"/>
      <c r="AE524" s="114"/>
      <c r="AF524" s="114"/>
      <c r="AG524" s="114"/>
    </row>
    <row r="525" spans="2:33" ht="12.75" customHeight="1" x14ac:dyDescent="0.2">
      <c r="B525" s="22">
        <v>1</v>
      </c>
      <c r="D525" s="114" t="s">
        <v>362</v>
      </c>
      <c r="E525" s="114" t="s">
        <v>754</v>
      </c>
      <c r="F525" s="147">
        <v>173800</v>
      </c>
      <c r="G525" s="114"/>
      <c r="H525" s="147">
        <v>174300</v>
      </c>
      <c r="I525" s="217" t="s">
        <v>24</v>
      </c>
      <c r="J525" s="212">
        <v>1</v>
      </c>
      <c r="K525" s="139"/>
      <c r="L525" s="114"/>
      <c r="M525" s="140">
        <f>(H525-F525)/5280</f>
        <v>9.4696969696969696E-2</v>
      </c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14"/>
      <c r="AG525" s="114"/>
    </row>
    <row r="526" spans="2:33" ht="12.75" customHeight="1" x14ac:dyDescent="0.2">
      <c r="B526" s="22">
        <v>1</v>
      </c>
      <c r="D526" s="114" t="s">
        <v>363</v>
      </c>
      <c r="E526" s="114" t="s">
        <v>754</v>
      </c>
      <c r="F526" s="147">
        <v>173800</v>
      </c>
      <c r="G526" s="114"/>
      <c r="H526" s="147">
        <v>174300</v>
      </c>
      <c r="I526" s="217" t="s">
        <v>25</v>
      </c>
      <c r="J526" s="212">
        <v>1</v>
      </c>
      <c r="K526" s="139"/>
      <c r="L526" s="114"/>
      <c r="M526" s="140">
        <f>(H526-F526)/5280</f>
        <v>9.4696969696969696E-2</v>
      </c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14"/>
      <c r="AG526" s="114"/>
    </row>
    <row r="527" spans="2:33" ht="12.75" customHeight="1" x14ac:dyDescent="0.2">
      <c r="B527" s="22">
        <v>1</v>
      </c>
      <c r="D527" s="114" t="s">
        <v>364</v>
      </c>
      <c r="E527" s="114" t="s">
        <v>754</v>
      </c>
      <c r="F527" s="147">
        <v>173800</v>
      </c>
      <c r="G527" s="114"/>
      <c r="H527" s="147">
        <v>173907</v>
      </c>
      <c r="I527" s="217" t="s">
        <v>24</v>
      </c>
      <c r="J527" s="212">
        <v>1</v>
      </c>
      <c r="K527" s="139"/>
      <c r="L527" s="114"/>
      <c r="M527" s="140">
        <f>(H527-F527)/5280</f>
        <v>2.0265151515151514E-2</v>
      </c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14"/>
      <c r="AG527" s="114"/>
    </row>
    <row r="528" spans="2:33" ht="12.75" customHeight="1" x14ac:dyDescent="0.2">
      <c r="B528" s="22">
        <v>1</v>
      </c>
      <c r="D528" s="114" t="s">
        <v>655</v>
      </c>
      <c r="E528" s="114" t="s">
        <v>754</v>
      </c>
      <c r="F528" s="147">
        <v>173800</v>
      </c>
      <c r="G528" s="114"/>
      <c r="H528" s="147">
        <v>173907</v>
      </c>
      <c r="I528" s="217" t="s">
        <v>24</v>
      </c>
      <c r="J528" s="212">
        <v>1</v>
      </c>
      <c r="K528" s="141">
        <f>ROUNDUP((H528-F528)/40,0)</f>
        <v>3</v>
      </c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14"/>
    </row>
    <row r="529" spans="2:33" ht="12.75" customHeight="1" x14ac:dyDescent="0.2">
      <c r="B529" s="22">
        <v>1</v>
      </c>
      <c r="D529" s="114" t="s">
        <v>365</v>
      </c>
      <c r="E529" s="114" t="s">
        <v>754</v>
      </c>
      <c r="F529" s="147">
        <v>173800</v>
      </c>
      <c r="G529" s="114"/>
      <c r="H529" s="147">
        <v>173907</v>
      </c>
      <c r="I529" s="217" t="s">
        <v>25</v>
      </c>
      <c r="J529" s="212">
        <v>1</v>
      </c>
      <c r="K529" s="139"/>
      <c r="L529" s="114"/>
      <c r="M529" s="140">
        <f>(H529-F529)/5280</f>
        <v>2.0265151515151514E-2</v>
      </c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14"/>
    </row>
    <row r="530" spans="2:33" ht="12.75" customHeight="1" x14ac:dyDescent="0.2">
      <c r="B530" s="22">
        <v>1</v>
      </c>
      <c r="D530" s="114" t="s">
        <v>656</v>
      </c>
      <c r="E530" s="114" t="s">
        <v>754</v>
      </c>
      <c r="F530" s="147">
        <v>173800</v>
      </c>
      <c r="G530" s="114"/>
      <c r="H530" s="147">
        <v>173907</v>
      </c>
      <c r="I530" s="217" t="s">
        <v>25</v>
      </c>
      <c r="J530" s="212">
        <v>1</v>
      </c>
      <c r="K530" s="141">
        <f>ROUNDUP((H530-F530)/40,0)</f>
        <v>3</v>
      </c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14"/>
    </row>
    <row r="531" spans="2:33" ht="12.75" customHeight="1" x14ac:dyDescent="0.2">
      <c r="B531" s="22">
        <v>1</v>
      </c>
      <c r="D531" s="114" t="s">
        <v>366</v>
      </c>
      <c r="E531" s="114" t="s">
        <v>754</v>
      </c>
      <c r="F531" s="146">
        <v>173907</v>
      </c>
      <c r="G531" s="139"/>
      <c r="H531" s="147">
        <v>174300</v>
      </c>
      <c r="I531" s="217" t="s">
        <v>24</v>
      </c>
      <c r="J531" s="212">
        <v>1</v>
      </c>
      <c r="K531" s="139"/>
      <c r="L531" s="114"/>
      <c r="M531" s="114"/>
      <c r="N531" s="140">
        <f>(H531-F531)/5280</f>
        <v>7.4431818181818182E-2</v>
      </c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14"/>
    </row>
    <row r="532" spans="2:33" ht="12.75" customHeight="1" x14ac:dyDescent="0.2">
      <c r="B532" s="22">
        <v>1</v>
      </c>
      <c r="D532" s="114" t="s">
        <v>657</v>
      </c>
      <c r="E532" s="114" t="s">
        <v>754</v>
      </c>
      <c r="F532" s="146">
        <v>173907</v>
      </c>
      <c r="G532" s="139"/>
      <c r="H532" s="147">
        <v>174300</v>
      </c>
      <c r="I532" s="217" t="s">
        <v>24</v>
      </c>
      <c r="J532" s="212">
        <v>1</v>
      </c>
      <c r="K532" s="141">
        <f>ROUNDUP((H532-F532)/80,0)</f>
        <v>5</v>
      </c>
      <c r="L532" s="114"/>
      <c r="M532" s="114"/>
      <c r="N532" s="140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</row>
    <row r="533" spans="2:33" ht="12.75" customHeight="1" x14ac:dyDescent="0.2">
      <c r="B533" s="22">
        <v>1</v>
      </c>
      <c r="D533" s="114" t="s">
        <v>367</v>
      </c>
      <c r="E533" s="114" t="s">
        <v>754</v>
      </c>
      <c r="F533" s="146">
        <v>173907</v>
      </c>
      <c r="G533" s="139"/>
      <c r="H533" s="147">
        <v>174300</v>
      </c>
      <c r="I533" s="217" t="s">
        <v>25</v>
      </c>
      <c r="J533" s="212">
        <v>1</v>
      </c>
      <c r="K533" s="139"/>
      <c r="L533" s="114"/>
      <c r="M533" s="114"/>
      <c r="N533" s="140">
        <f>(H533-F533)/5280</f>
        <v>7.4431818181818182E-2</v>
      </c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14"/>
    </row>
    <row r="534" spans="2:33" ht="12.75" customHeight="1" x14ac:dyDescent="0.2">
      <c r="B534" s="22">
        <v>1</v>
      </c>
      <c r="D534" s="114" t="s">
        <v>658</v>
      </c>
      <c r="E534" s="114" t="s">
        <v>754</v>
      </c>
      <c r="F534" s="146">
        <v>173907</v>
      </c>
      <c r="G534" s="139"/>
      <c r="H534" s="147">
        <v>174300</v>
      </c>
      <c r="I534" s="217" t="s">
        <v>25</v>
      </c>
      <c r="J534" s="212">
        <v>1</v>
      </c>
      <c r="K534" s="141">
        <f>ROUNDUP((H534-F534)/80,0)</f>
        <v>5</v>
      </c>
      <c r="L534" s="114"/>
      <c r="M534" s="114"/>
      <c r="N534" s="140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14"/>
    </row>
    <row r="535" spans="2:33" ht="12.75" customHeight="1" x14ac:dyDescent="0.2">
      <c r="B535" s="22">
        <v>1</v>
      </c>
      <c r="D535" s="114" t="s">
        <v>368</v>
      </c>
      <c r="E535" s="114" t="s">
        <v>754</v>
      </c>
      <c r="F535" s="147">
        <v>173800</v>
      </c>
      <c r="G535" s="114"/>
      <c r="H535" s="147">
        <v>173989</v>
      </c>
      <c r="I535" s="217" t="s">
        <v>25</v>
      </c>
      <c r="J535" s="212">
        <v>1</v>
      </c>
      <c r="K535" s="139"/>
      <c r="L535" s="114"/>
      <c r="M535" s="114"/>
      <c r="N535" s="114"/>
      <c r="O535" s="114">
        <f>59+59+77</f>
        <v>195</v>
      </c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  <c r="AA535" s="114"/>
      <c r="AB535" s="114"/>
      <c r="AC535" s="114"/>
      <c r="AD535" s="114"/>
      <c r="AE535" s="114"/>
      <c r="AF535" s="114"/>
      <c r="AG535" s="114"/>
    </row>
    <row r="536" spans="2:33" ht="12.75" customHeight="1" x14ac:dyDescent="0.2">
      <c r="B536" s="22">
        <v>1</v>
      </c>
      <c r="D536" s="114" t="s">
        <v>659</v>
      </c>
      <c r="E536" s="114" t="s">
        <v>754</v>
      </c>
      <c r="F536" s="147">
        <v>173800</v>
      </c>
      <c r="G536" s="114"/>
      <c r="H536" s="147">
        <v>173989</v>
      </c>
      <c r="I536" s="217" t="s">
        <v>25</v>
      </c>
      <c r="J536" s="212">
        <v>1</v>
      </c>
      <c r="K536" s="141">
        <f>ROUNDUP((H536-F536)/40,0)</f>
        <v>5</v>
      </c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  <c r="AA536" s="114"/>
      <c r="AB536" s="114"/>
      <c r="AC536" s="114"/>
      <c r="AD536" s="114"/>
      <c r="AE536" s="114"/>
      <c r="AF536" s="114"/>
      <c r="AG536" s="114"/>
    </row>
    <row r="537" spans="2:33" ht="12.75" customHeight="1" x14ac:dyDescent="0.2">
      <c r="B537" s="22">
        <v>1</v>
      </c>
      <c r="D537" s="114" t="s">
        <v>369</v>
      </c>
      <c r="E537" s="114" t="s">
        <v>754</v>
      </c>
      <c r="F537" s="147">
        <v>173800</v>
      </c>
      <c r="G537" s="114"/>
      <c r="H537" s="147">
        <v>174102</v>
      </c>
      <c r="I537" s="217" t="s">
        <v>25</v>
      </c>
      <c r="J537" s="212">
        <v>1</v>
      </c>
      <c r="K537" s="139"/>
      <c r="L537" s="114"/>
      <c r="M537" s="114"/>
      <c r="N537" s="114"/>
      <c r="O537" s="114">
        <f>59+59+77+114</f>
        <v>309</v>
      </c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  <c r="AB537" s="114"/>
      <c r="AC537" s="114"/>
      <c r="AD537" s="114"/>
      <c r="AE537" s="114"/>
      <c r="AF537" s="114"/>
      <c r="AG537" s="114"/>
    </row>
    <row r="538" spans="2:33" ht="12.75" customHeight="1" x14ac:dyDescent="0.2">
      <c r="B538" s="22">
        <v>1</v>
      </c>
      <c r="D538" s="114" t="s">
        <v>660</v>
      </c>
      <c r="E538" s="114" t="s">
        <v>754</v>
      </c>
      <c r="F538" s="147">
        <v>173800</v>
      </c>
      <c r="G538" s="114"/>
      <c r="H538" s="147">
        <v>174102</v>
      </c>
      <c r="I538" s="217" t="s">
        <v>25</v>
      </c>
      <c r="J538" s="212">
        <v>1</v>
      </c>
      <c r="K538" s="141">
        <f>ROUNDUP((H538-F538)/40,0)</f>
        <v>8</v>
      </c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  <c r="AA538" s="114"/>
      <c r="AB538" s="114"/>
      <c r="AC538" s="114"/>
      <c r="AD538" s="114"/>
      <c r="AE538" s="114"/>
      <c r="AF538" s="114"/>
      <c r="AG538" s="114"/>
    </row>
    <row r="539" spans="2:33" ht="12.75" customHeight="1" x14ac:dyDescent="0.2">
      <c r="B539" s="22">
        <v>1</v>
      </c>
      <c r="D539" s="114" t="s">
        <v>370</v>
      </c>
      <c r="E539" s="114" t="s">
        <v>754</v>
      </c>
      <c r="F539" s="147">
        <v>173846</v>
      </c>
      <c r="G539" s="114"/>
      <c r="H539" s="156"/>
      <c r="I539" s="217" t="s">
        <v>25</v>
      </c>
      <c r="J539" s="212">
        <v>1</v>
      </c>
      <c r="K539" s="139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>
        <v>1</v>
      </c>
      <c r="V539" s="114"/>
      <c r="W539" s="114"/>
      <c r="X539" s="114"/>
      <c r="Y539" s="114"/>
      <c r="Z539" s="114"/>
      <c r="AA539" s="114"/>
      <c r="AB539" s="114"/>
      <c r="AC539" s="114"/>
      <c r="AD539" s="114"/>
      <c r="AE539" s="114"/>
      <c r="AF539" s="114"/>
      <c r="AG539" s="114"/>
    </row>
    <row r="540" spans="2:33" ht="12.75" customHeight="1" x14ac:dyDescent="0.2">
      <c r="B540" s="22">
        <v>1</v>
      </c>
      <c r="D540" s="114" t="s">
        <v>371</v>
      </c>
      <c r="E540" s="114" t="s">
        <v>754</v>
      </c>
      <c r="F540" s="147">
        <v>173846</v>
      </c>
      <c r="G540" s="114"/>
      <c r="H540" s="156"/>
      <c r="I540" s="217" t="s">
        <v>25</v>
      </c>
      <c r="J540" s="212">
        <v>1</v>
      </c>
      <c r="K540" s="139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>
        <v>1</v>
      </c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</row>
    <row r="541" spans="2:33" ht="12.75" customHeight="1" x14ac:dyDescent="0.2">
      <c r="B541" s="22">
        <v>1</v>
      </c>
      <c r="D541" s="114" t="s">
        <v>372</v>
      </c>
      <c r="E541" s="114" t="s">
        <v>754</v>
      </c>
      <c r="F541" s="147">
        <v>173913</v>
      </c>
      <c r="G541" s="114"/>
      <c r="H541" s="156"/>
      <c r="I541" s="217" t="s">
        <v>25</v>
      </c>
      <c r="J541" s="212">
        <v>1</v>
      </c>
      <c r="K541" s="139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>
        <v>1</v>
      </c>
      <c r="V541" s="114"/>
      <c r="W541" s="114"/>
      <c r="X541" s="114"/>
      <c r="Y541" s="114"/>
      <c r="Z541" s="114"/>
      <c r="AA541" s="114"/>
      <c r="AB541" s="114"/>
      <c r="AC541" s="114"/>
      <c r="AD541" s="114"/>
      <c r="AE541" s="114"/>
      <c r="AF541" s="114"/>
      <c r="AG541" s="114"/>
    </row>
    <row r="542" spans="2:33" ht="12.75" customHeight="1" x14ac:dyDescent="0.2">
      <c r="B542" s="22">
        <v>1</v>
      </c>
      <c r="D542" s="114" t="s">
        <v>373</v>
      </c>
      <c r="E542" s="114" t="s">
        <v>754</v>
      </c>
      <c r="F542" s="147">
        <v>173913</v>
      </c>
      <c r="G542" s="114"/>
      <c r="H542" s="156"/>
      <c r="I542" s="217" t="s">
        <v>25</v>
      </c>
      <c r="J542" s="212">
        <v>1</v>
      </c>
      <c r="K542" s="139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>
        <v>1</v>
      </c>
      <c r="V542" s="114"/>
      <c r="W542" s="114"/>
      <c r="X542" s="114"/>
      <c r="Y542" s="114"/>
      <c r="Z542" s="114"/>
      <c r="AA542" s="114"/>
      <c r="AB542" s="114"/>
      <c r="AC542" s="114"/>
      <c r="AD542" s="114"/>
      <c r="AE542" s="114"/>
      <c r="AF542" s="114"/>
      <c r="AG542" s="114"/>
    </row>
    <row r="543" spans="2:33" ht="12.75" customHeight="1" x14ac:dyDescent="0.2">
      <c r="B543" s="22">
        <v>1</v>
      </c>
      <c r="D543" s="114" t="s">
        <v>374</v>
      </c>
      <c r="E543" s="114" t="s">
        <v>754</v>
      </c>
      <c r="F543" s="147">
        <v>173979</v>
      </c>
      <c r="G543" s="114"/>
      <c r="H543" s="156"/>
      <c r="I543" s="217" t="s">
        <v>25</v>
      </c>
      <c r="J543" s="212">
        <v>1</v>
      </c>
      <c r="K543" s="139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>
        <v>1</v>
      </c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14"/>
    </row>
    <row r="544" spans="2:33" ht="12.75" customHeight="1" x14ac:dyDescent="0.2">
      <c r="B544" s="22">
        <v>1</v>
      </c>
      <c r="D544" s="114" t="s">
        <v>375</v>
      </c>
      <c r="E544" s="114" t="s">
        <v>754</v>
      </c>
      <c r="F544" s="147">
        <v>173979</v>
      </c>
      <c r="G544" s="114"/>
      <c r="H544" s="156"/>
      <c r="I544" s="217" t="s">
        <v>25</v>
      </c>
      <c r="J544" s="212">
        <v>1</v>
      </c>
      <c r="K544" s="139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>
        <v>1</v>
      </c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14"/>
    </row>
    <row r="545" spans="2:33" ht="12.75" customHeight="1" x14ac:dyDescent="0.2">
      <c r="B545" s="22">
        <v>1</v>
      </c>
      <c r="D545" s="114" t="s">
        <v>376</v>
      </c>
      <c r="E545" s="114" t="s">
        <v>754</v>
      </c>
      <c r="F545" s="147">
        <v>174045</v>
      </c>
      <c r="G545" s="114"/>
      <c r="H545" s="156"/>
      <c r="I545" s="217" t="s">
        <v>25</v>
      </c>
      <c r="J545" s="212">
        <v>1</v>
      </c>
      <c r="K545" s="139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>
        <v>1</v>
      </c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14"/>
    </row>
    <row r="546" spans="2:33" ht="12.75" customHeight="1" x14ac:dyDescent="0.2">
      <c r="B546" s="22">
        <v>1</v>
      </c>
      <c r="D546" s="114" t="s">
        <v>377</v>
      </c>
      <c r="E546" s="114" t="s">
        <v>754</v>
      </c>
      <c r="F546" s="147">
        <v>174045</v>
      </c>
      <c r="G546" s="114"/>
      <c r="H546" s="156"/>
      <c r="I546" s="217" t="s">
        <v>25</v>
      </c>
      <c r="J546" s="212">
        <v>1</v>
      </c>
      <c r="K546" s="139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>
        <v>1</v>
      </c>
      <c r="V546" s="114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14"/>
    </row>
    <row r="547" spans="2:33" ht="12.75" customHeight="1" x14ac:dyDescent="0.2">
      <c r="B547" s="22">
        <v>1</v>
      </c>
      <c r="D547" s="114" t="s">
        <v>378</v>
      </c>
      <c r="E547" s="114" t="s">
        <v>754</v>
      </c>
      <c r="F547" s="147">
        <v>174000</v>
      </c>
      <c r="G547" s="114"/>
      <c r="H547" s="156"/>
      <c r="I547" s="217" t="s">
        <v>35</v>
      </c>
      <c r="J547" s="212">
        <v>1</v>
      </c>
      <c r="K547" s="139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>
        <v>1</v>
      </c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14"/>
    </row>
    <row r="548" spans="2:33" ht="12.75" customHeight="1" x14ac:dyDescent="0.2">
      <c r="B548" s="22">
        <v>1</v>
      </c>
      <c r="D548" s="114" t="s">
        <v>381</v>
      </c>
      <c r="E548" s="114" t="s">
        <v>754</v>
      </c>
      <c r="F548" s="147">
        <v>173800</v>
      </c>
      <c r="G548" s="114"/>
      <c r="H548" s="147">
        <v>174102</v>
      </c>
      <c r="I548" s="217" t="s">
        <v>25</v>
      </c>
      <c r="J548" s="212">
        <v>1</v>
      </c>
      <c r="K548" s="139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>
        <f>2*(3.5+4+3+3+2.5+2+1.5+1)</f>
        <v>41</v>
      </c>
      <c r="Z548" s="114"/>
      <c r="AA548" s="114"/>
      <c r="AB548" s="114"/>
      <c r="AC548" s="114"/>
      <c r="AD548" s="114"/>
      <c r="AE548" s="114"/>
      <c r="AF548" s="114"/>
      <c r="AG548" s="114"/>
    </row>
    <row r="549" spans="2:33" ht="12.75" customHeight="1" x14ac:dyDescent="0.2">
      <c r="B549" s="22"/>
      <c r="D549" s="114"/>
      <c r="E549" s="114"/>
      <c r="F549" s="147"/>
      <c r="G549" s="114"/>
      <c r="H549" s="147"/>
      <c r="I549" s="217"/>
      <c r="J549" s="212"/>
      <c r="K549" s="139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  <c r="AA549" s="114"/>
      <c r="AB549" s="114"/>
      <c r="AC549" s="114"/>
      <c r="AD549" s="114"/>
      <c r="AE549" s="114"/>
      <c r="AF549" s="114"/>
      <c r="AG549" s="114"/>
    </row>
    <row r="550" spans="2:33" ht="12.75" customHeight="1" x14ac:dyDescent="0.2">
      <c r="B550" s="22">
        <v>1</v>
      </c>
      <c r="D550" s="114" t="s">
        <v>382</v>
      </c>
      <c r="E550" s="114" t="s">
        <v>755</v>
      </c>
      <c r="F550" s="146">
        <v>174300</v>
      </c>
      <c r="G550" s="114"/>
      <c r="H550" s="147">
        <v>174550</v>
      </c>
      <c r="I550" s="217" t="s">
        <v>24</v>
      </c>
      <c r="J550" s="212">
        <v>1</v>
      </c>
      <c r="K550" s="139"/>
      <c r="L550" s="114"/>
      <c r="M550" s="140">
        <f>(H550-F550)/5280</f>
        <v>4.7348484848484848E-2</v>
      </c>
      <c r="N550" s="140"/>
      <c r="O550" s="110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  <c r="AA550" s="114"/>
      <c r="AB550" s="114"/>
      <c r="AC550" s="114"/>
      <c r="AD550" s="114"/>
      <c r="AE550" s="114"/>
      <c r="AF550" s="114"/>
      <c r="AG550" s="114"/>
    </row>
    <row r="551" spans="2:33" ht="12.75" customHeight="1" x14ac:dyDescent="0.2">
      <c r="B551" s="22">
        <v>1</v>
      </c>
      <c r="D551" s="114" t="s">
        <v>383</v>
      </c>
      <c r="E551" s="114" t="s">
        <v>755</v>
      </c>
      <c r="F551" s="146">
        <v>174300</v>
      </c>
      <c r="G551" s="114"/>
      <c r="H551" s="147">
        <v>174550</v>
      </c>
      <c r="I551" s="218" t="s">
        <v>25</v>
      </c>
      <c r="J551" s="212">
        <v>1</v>
      </c>
      <c r="K551" s="139"/>
      <c r="L551" s="114"/>
      <c r="M551" s="140">
        <f>(H551-F551)/5280</f>
        <v>4.7348484848484848E-2</v>
      </c>
      <c r="N551" s="114"/>
      <c r="O551" s="110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14"/>
    </row>
    <row r="552" spans="2:33" ht="12.75" customHeight="1" x14ac:dyDescent="0.2">
      <c r="B552" s="22">
        <v>1</v>
      </c>
      <c r="D552" s="114" t="s">
        <v>384</v>
      </c>
      <c r="E552" s="114" t="s">
        <v>755</v>
      </c>
      <c r="F552" s="158">
        <v>174300</v>
      </c>
      <c r="G552" s="155"/>
      <c r="H552" s="158">
        <v>174550</v>
      </c>
      <c r="I552" s="218" t="s">
        <v>24</v>
      </c>
      <c r="J552" s="212">
        <v>1</v>
      </c>
      <c r="K552" s="163"/>
      <c r="L552" s="155"/>
      <c r="M552" s="155"/>
      <c r="N552" s="140">
        <f>(H552-F552)/5280</f>
        <v>4.7348484848484848E-2</v>
      </c>
      <c r="O552" s="201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14"/>
    </row>
    <row r="553" spans="2:33" ht="12.75" customHeight="1" x14ac:dyDescent="0.2">
      <c r="B553" s="22">
        <v>1</v>
      </c>
      <c r="D553" s="114" t="s">
        <v>661</v>
      </c>
      <c r="E553" s="114" t="s">
        <v>755</v>
      </c>
      <c r="F553" s="158">
        <v>174300</v>
      </c>
      <c r="G553" s="155"/>
      <c r="H553" s="158">
        <v>174550</v>
      </c>
      <c r="I553" s="218" t="s">
        <v>24</v>
      </c>
      <c r="J553" s="212">
        <v>1</v>
      </c>
      <c r="K553" s="141">
        <f>ROUNDUP((H553-F553)/80,0)</f>
        <v>4</v>
      </c>
      <c r="L553" s="155"/>
      <c r="M553" s="155"/>
      <c r="N553" s="140"/>
      <c r="O553" s="201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14"/>
    </row>
    <row r="554" spans="2:33" ht="12.75" customHeight="1" x14ac:dyDescent="0.2">
      <c r="B554" s="22">
        <v>1</v>
      </c>
      <c r="D554" s="114" t="s">
        <v>385</v>
      </c>
      <c r="E554" s="114" t="s">
        <v>755</v>
      </c>
      <c r="F554" s="147">
        <v>174300</v>
      </c>
      <c r="G554" s="114"/>
      <c r="H554" s="147">
        <v>174550</v>
      </c>
      <c r="I554" s="217" t="s">
        <v>25</v>
      </c>
      <c r="J554" s="212">
        <v>1</v>
      </c>
      <c r="K554" s="139"/>
      <c r="L554" s="114"/>
      <c r="M554" s="114"/>
      <c r="N554" s="140">
        <f>(H554-F554)/5280</f>
        <v>4.7348484848484848E-2</v>
      </c>
      <c r="O554" s="110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14"/>
    </row>
    <row r="555" spans="2:33" ht="12.75" customHeight="1" x14ac:dyDescent="0.2">
      <c r="B555" s="22">
        <v>1</v>
      </c>
      <c r="D555" s="114" t="s">
        <v>662</v>
      </c>
      <c r="E555" s="114" t="s">
        <v>755</v>
      </c>
      <c r="F555" s="147">
        <v>174300</v>
      </c>
      <c r="G555" s="114"/>
      <c r="H555" s="147">
        <v>174550</v>
      </c>
      <c r="I555" s="217" t="s">
        <v>25</v>
      </c>
      <c r="J555" s="212">
        <v>1</v>
      </c>
      <c r="K555" s="141">
        <f>ROUNDUP((H555-F555)/80,0)</f>
        <v>4</v>
      </c>
      <c r="L555" s="114"/>
      <c r="M555" s="114"/>
      <c r="N555" s="140"/>
      <c r="O555" s="110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14"/>
    </row>
    <row r="556" spans="2:33" ht="12.75" customHeight="1" x14ac:dyDescent="0.2">
      <c r="B556" s="22">
        <v>1</v>
      </c>
      <c r="D556" s="114" t="s">
        <v>386</v>
      </c>
      <c r="E556" s="114" t="s">
        <v>755</v>
      </c>
      <c r="F556" s="147">
        <v>4866</v>
      </c>
      <c r="G556" s="114"/>
      <c r="H556" s="147">
        <v>5100</v>
      </c>
      <c r="I556" s="217" t="s">
        <v>24</v>
      </c>
      <c r="J556" s="212">
        <v>1</v>
      </c>
      <c r="K556" s="139"/>
      <c r="L556" s="114"/>
      <c r="M556" s="140">
        <f>(H556-F556)/5280</f>
        <v>4.4318181818181819E-2</v>
      </c>
      <c r="N556" s="114"/>
      <c r="O556" s="110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14"/>
    </row>
    <row r="557" spans="2:33" ht="12.75" customHeight="1" x14ac:dyDescent="0.2">
      <c r="B557" s="22">
        <v>1</v>
      </c>
      <c r="D557" s="114" t="s">
        <v>387</v>
      </c>
      <c r="E557" s="114" t="s">
        <v>755</v>
      </c>
      <c r="F557" s="147">
        <v>4866</v>
      </c>
      <c r="G557" s="114"/>
      <c r="H557" s="147">
        <v>5100</v>
      </c>
      <c r="I557" s="217" t="s">
        <v>25</v>
      </c>
      <c r="J557" s="212">
        <v>1</v>
      </c>
      <c r="K557" s="139"/>
      <c r="L557" s="114"/>
      <c r="M557" s="140">
        <f>(H557-F557)/5280</f>
        <v>4.4318181818181819E-2</v>
      </c>
      <c r="N557" s="114"/>
      <c r="O557" s="110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14"/>
    </row>
    <row r="558" spans="2:33" ht="12.75" customHeight="1" x14ac:dyDescent="0.2">
      <c r="B558" s="22">
        <v>1</v>
      </c>
      <c r="D558" s="155" t="s">
        <v>388</v>
      </c>
      <c r="E558" s="114" t="s">
        <v>755</v>
      </c>
      <c r="F558" s="202">
        <v>5076</v>
      </c>
      <c r="G558" s="116"/>
      <c r="H558" s="202">
        <v>5100</v>
      </c>
      <c r="I558" s="217" t="s">
        <v>24</v>
      </c>
      <c r="J558" s="212">
        <v>1</v>
      </c>
      <c r="K558" s="139"/>
      <c r="L558" s="114"/>
      <c r="M558" s="140">
        <f>(H558-F558)/5280</f>
        <v>4.5454545454545452E-3</v>
      </c>
      <c r="N558" s="114"/>
      <c r="O558" s="110"/>
      <c r="P558" s="114"/>
      <c r="Q558" s="114"/>
      <c r="R558" s="114"/>
      <c r="S558" s="114"/>
      <c r="T558" s="114"/>
      <c r="U558" s="114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</row>
    <row r="559" spans="2:33" ht="12.75" customHeight="1" x14ac:dyDescent="0.2">
      <c r="B559" s="22">
        <v>1</v>
      </c>
      <c r="D559" s="155" t="s">
        <v>663</v>
      </c>
      <c r="E559" s="114" t="s">
        <v>755</v>
      </c>
      <c r="F559" s="146">
        <v>5076</v>
      </c>
      <c r="G559" s="114"/>
      <c r="H559" s="147">
        <v>5100</v>
      </c>
      <c r="I559" s="217" t="s">
        <v>24</v>
      </c>
      <c r="J559" s="212">
        <v>1</v>
      </c>
      <c r="K559" s="141">
        <f>ROUNDUP((H559-F559)/80,0)</f>
        <v>1</v>
      </c>
      <c r="L559" s="114"/>
      <c r="M559" s="114"/>
      <c r="N559" s="114"/>
      <c r="O559" s="110"/>
      <c r="P559" s="114"/>
      <c r="Q559" s="114"/>
      <c r="R559" s="114"/>
      <c r="S559" s="114"/>
      <c r="T559" s="114"/>
      <c r="U559" s="114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</row>
    <row r="560" spans="2:33" ht="12.75" customHeight="1" x14ac:dyDescent="0.2">
      <c r="B560" s="22">
        <v>1</v>
      </c>
      <c r="D560" s="155" t="s">
        <v>389</v>
      </c>
      <c r="E560" s="114" t="s">
        <v>755</v>
      </c>
      <c r="F560" s="147">
        <v>5076</v>
      </c>
      <c r="G560" s="114"/>
      <c r="H560" s="147">
        <v>5100</v>
      </c>
      <c r="I560" s="217" t="s">
        <v>25</v>
      </c>
      <c r="J560" s="212">
        <v>1</v>
      </c>
      <c r="K560" s="139"/>
      <c r="L560" s="114"/>
      <c r="M560" s="140">
        <f>(H560-F560)/5280</f>
        <v>4.5454545454545452E-3</v>
      </c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  <c r="AA560" s="114"/>
      <c r="AB560" s="114"/>
      <c r="AC560" s="114"/>
      <c r="AD560" s="114"/>
      <c r="AE560" s="114"/>
      <c r="AF560" s="114"/>
      <c r="AG560" s="114"/>
    </row>
    <row r="561" spans="2:33" ht="12.75" customHeight="1" x14ac:dyDescent="0.2">
      <c r="B561" s="22">
        <v>1</v>
      </c>
      <c r="D561" s="155" t="s">
        <v>664</v>
      </c>
      <c r="E561" s="114" t="s">
        <v>755</v>
      </c>
      <c r="F561" s="147">
        <v>5076</v>
      </c>
      <c r="G561" s="114"/>
      <c r="H561" s="147">
        <v>5100</v>
      </c>
      <c r="I561" s="217" t="s">
        <v>25</v>
      </c>
      <c r="J561" s="212">
        <v>1</v>
      </c>
      <c r="K561" s="141">
        <f>ROUNDUP((H561-F561)/80,0)</f>
        <v>1</v>
      </c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  <c r="AA561" s="114"/>
      <c r="AB561" s="114"/>
      <c r="AC561" s="114"/>
      <c r="AD561" s="114"/>
      <c r="AE561" s="114"/>
      <c r="AF561" s="114"/>
      <c r="AG561" s="114"/>
    </row>
    <row r="562" spans="2:33" ht="12.75" customHeight="1" x14ac:dyDescent="0.2">
      <c r="B562" s="22">
        <v>1</v>
      </c>
      <c r="D562" s="155" t="s">
        <v>390</v>
      </c>
      <c r="E562" s="114" t="s">
        <v>755</v>
      </c>
      <c r="F562" s="147">
        <v>4866</v>
      </c>
      <c r="G562" s="114"/>
      <c r="H562" s="147">
        <v>5076</v>
      </c>
      <c r="I562" s="217" t="s">
        <v>67</v>
      </c>
      <c r="J562" s="212">
        <v>1</v>
      </c>
      <c r="K562" s="139"/>
      <c r="L562" s="114"/>
      <c r="M562" s="114"/>
      <c r="N562" s="140">
        <f>(H562-F562)/5280</f>
        <v>3.9772727272727272E-2</v>
      </c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  <c r="AA562" s="114"/>
      <c r="AB562" s="114"/>
      <c r="AC562" s="114"/>
      <c r="AD562" s="114"/>
      <c r="AE562" s="114"/>
      <c r="AF562" s="114"/>
      <c r="AG562" s="114"/>
    </row>
    <row r="563" spans="2:33" ht="12.75" customHeight="1" x14ac:dyDescent="0.2">
      <c r="B563" s="22">
        <v>1</v>
      </c>
      <c r="D563" s="155" t="s">
        <v>665</v>
      </c>
      <c r="E563" s="114" t="s">
        <v>755</v>
      </c>
      <c r="F563" s="147">
        <v>4866</v>
      </c>
      <c r="G563" s="114"/>
      <c r="H563" s="147">
        <v>5076</v>
      </c>
      <c r="I563" s="217" t="s">
        <v>67</v>
      </c>
      <c r="J563" s="212">
        <v>1</v>
      </c>
      <c r="K563" s="141">
        <f>ROUNDUP((H563-F563)/80,0)</f>
        <v>3</v>
      </c>
      <c r="L563" s="114"/>
      <c r="M563" s="114"/>
      <c r="N563" s="140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  <c r="AA563" s="114"/>
      <c r="AB563" s="114"/>
      <c r="AC563" s="114"/>
      <c r="AD563" s="114"/>
      <c r="AE563" s="114"/>
      <c r="AF563" s="114"/>
      <c r="AG563" s="114"/>
    </row>
    <row r="564" spans="2:33" ht="12.75" customHeight="1" x14ac:dyDescent="0.2">
      <c r="B564" s="22">
        <v>1</v>
      </c>
      <c r="D564" s="155" t="s">
        <v>391</v>
      </c>
      <c r="E564" s="114" t="s">
        <v>755</v>
      </c>
      <c r="F564" s="147">
        <v>4966</v>
      </c>
      <c r="G564" s="114"/>
      <c r="H564" s="147">
        <v>5076</v>
      </c>
      <c r="I564" s="217" t="s">
        <v>25</v>
      </c>
      <c r="J564" s="212">
        <v>1</v>
      </c>
      <c r="K564" s="139"/>
      <c r="L564" s="114"/>
      <c r="M564" s="114"/>
      <c r="N564" s="140">
        <f>(H564-F564)/5280</f>
        <v>2.0833333333333332E-2</v>
      </c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  <c r="AA564" s="114"/>
      <c r="AB564" s="114"/>
      <c r="AC564" s="114"/>
      <c r="AD564" s="114"/>
      <c r="AE564" s="114"/>
      <c r="AF564" s="114"/>
      <c r="AG564" s="114"/>
    </row>
    <row r="565" spans="2:33" ht="12.75" customHeight="1" x14ac:dyDescent="0.2">
      <c r="B565" s="22">
        <v>1</v>
      </c>
      <c r="D565" s="155" t="s">
        <v>666</v>
      </c>
      <c r="E565" s="114" t="s">
        <v>755</v>
      </c>
      <c r="F565" s="147">
        <v>4966</v>
      </c>
      <c r="G565" s="114"/>
      <c r="H565" s="147">
        <v>5076</v>
      </c>
      <c r="I565" s="217" t="s">
        <v>25</v>
      </c>
      <c r="J565" s="212">
        <v>1</v>
      </c>
      <c r="K565" s="141">
        <f>ROUNDUP((H565-F565)/80,0)</f>
        <v>2</v>
      </c>
      <c r="L565" s="114"/>
      <c r="M565" s="114"/>
      <c r="N565" s="140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14"/>
    </row>
    <row r="566" spans="2:33" ht="12.75" customHeight="1" x14ac:dyDescent="0.2">
      <c r="B566" s="22">
        <v>1</v>
      </c>
      <c r="D566" s="114" t="s">
        <v>392</v>
      </c>
      <c r="E566" s="114" t="s">
        <v>755</v>
      </c>
      <c r="F566" s="147">
        <v>4866</v>
      </c>
      <c r="G566" s="114"/>
      <c r="H566" s="156"/>
      <c r="I566" s="217" t="s">
        <v>25</v>
      </c>
      <c r="J566" s="212">
        <v>1</v>
      </c>
      <c r="K566" s="139"/>
      <c r="L566" s="114"/>
      <c r="M566" s="114"/>
      <c r="N566" s="114"/>
      <c r="O566" s="114"/>
      <c r="P566" s="114">
        <v>12</v>
      </c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14"/>
    </row>
    <row r="567" spans="2:33" ht="12.75" customHeight="1" x14ac:dyDescent="0.2">
      <c r="B567" s="22">
        <v>1</v>
      </c>
      <c r="D567" s="114" t="s">
        <v>676</v>
      </c>
      <c r="E567" s="114" t="s">
        <v>755</v>
      </c>
      <c r="F567" s="147">
        <v>4727</v>
      </c>
      <c r="G567" s="114"/>
      <c r="H567" s="147"/>
      <c r="I567" s="217" t="s">
        <v>25</v>
      </c>
      <c r="J567" s="212">
        <v>1</v>
      </c>
      <c r="K567" s="139"/>
      <c r="L567" s="114"/>
      <c r="M567" s="114"/>
      <c r="N567" s="114"/>
      <c r="O567" s="114"/>
      <c r="P567" s="114">
        <v>12</v>
      </c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14"/>
    </row>
    <row r="568" spans="2:33" ht="12.75" customHeight="1" x14ac:dyDescent="0.2">
      <c r="B568" s="22">
        <v>1</v>
      </c>
      <c r="D568" s="114" t="s">
        <v>393</v>
      </c>
      <c r="E568" s="114" t="s">
        <v>755</v>
      </c>
      <c r="F568" s="147">
        <v>4966</v>
      </c>
      <c r="G568" s="114"/>
      <c r="H568" s="147">
        <v>5100</v>
      </c>
      <c r="I568" s="217" t="s">
        <v>35</v>
      </c>
      <c r="J568" s="212">
        <v>1</v>
      </c>
      <c r="K568" s="139"/>
      <c r="L568" s="114"/>
      <c r="M568" s="114"/>
      <c r="N568" s="114"/>
      <c r="O568" s="114"/>
      <c r="P568" s="114"/>
      <c r="Q568" s="114"/>
      <c r="R568" s="114"/>
      <c r="S568" s="114">
        <f>2+3+4+5+6+6+8</f>
        <v>34</v>
      </c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14"/>
      <c r="AG568" s="114"/>
    </row>
    <row r="569" spans="2:33" ht="12.75" customHeight="1" x14ac:dyDescent="0.2">
      <c r="B569" s="22">
        <v>1</v>
      </c>
      <c r="D569" s="114" t="s">
        <v>394</v>
      </c>
      <c r="E569" s="114" t="s">
        <v>755</v>
      </c>
      <c r="F569" s="147">
        <v>5030</v>
      </c>
      <c r="G569" s="114"/>
      <c r="H569" s="156"/>
      <c r="I569" s="217" t="s">
        <v>25</v>
      </c>
      <c r="J569" s="212">
        <v>1</v>
      </c>
      <c r="K569" s="139"/>
      <c r="L569" s="114"/>
      <c r="M569" s="114"/>
      <c r="N569" s="114"/>
      <c r="O569" s="114"/>
      <c r="P569" s="114"/>
      <c r="Q569" s="114"/>
      <c r="R569" s="114"/>
      <c r="S569" s="114"/>
      <c r="T569" s="114">
        <v>1</v>
      </c>
      <c r="U569" s="114"/>
      <c r="V569" s="114"/>
      <c r="W569" s="114"/>
      <c r="X569" s="114"/>
      <c r="Y569" s="114"/>
      <c r="Z569" s="114"/>
      <c r="AA569" s="114"/>
      <c r="AB569" s="114"/>
      <c r="AC569" s="114"/>
      <c r="AD569" s="114"/>
      <c r="AE569" s="114"/>
      <c r="AF569" s="114"/>
      <c r="AG569" s="114"/>
    </row>
    <row r="570" spans="2:33" ht="12.75" customHeight="1" x14ac:dyDescent="0.2">
      <c r="B570" s="22"/>
      <c r="D570" s="114"/>
      <c r="E570" s="114"/>
      <c r="F570" s="147"/>
      <c r="G570" s="114"/>
      <c r="H570" s="147"/>
      <c r="I570" s="217"/>
      <c r="J570" s="212"/>
      <c r="K570" s="139"/>
      <c r="L570" s="114"/>
      <c r="M570" s="140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14"/>
    </row>
    <row r="571" spans="2:33" ht="12.75" customHeight="1" x14ac:dyDescent="0.2">
      <c r="B571" s="22"/>
      <c r="D571" s="114"/>
      <c r="E571" s="114"/>
      <c r="F571" s="147"/>
      <c r="G571" s="114"/>
      <c r="H571" s="147"/>
      <c r="I571" s="217"/>
      <c r="J571" s="212"/>
      <c r="K571" s="139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40"/>
      <c r="AC571" s="114"/>
      <c r="AD571" s="140"/>
      <c r="AE571" s="114"/>
      <c r="AF571" s="114"/>
      <c r="AG571" s="114"/>
    </row>
    <row r="572" spans="2:33" ht="12.75" customHeight="1" x14ac:dyDescent="0.2">
      <c r="B572" s="22"/>
      <c r="D572" s="114"/>
      <c r="E572" s="114"/>
      <c r="F572" s="147"/>
      <c r="G572" s="114"/>
      <c r="H572" s="147"/>
      <c r="I572" s="217"/>
      <c r="J572" s="212"/>
      <c r="K572" s="139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  <c r="AA572" s="114"/>
      <c r="AB572" s="140"/>
      <c r="AC572" s="114"/>
      <c r="AD572" s="140"/>
      <c r="AE572" s="114"/>
      <c r="AF572" s="114"/>
      <c r="AG572" s="114"/>
    </row>
    <row r="573" spans="2:33" ht="12.75" customHeight="1" x14ac:dyDescent="0.2">
      <c r="B573" s="22"/>
      <c r="D573" s="114"/>
      <c r="E573" s="114"/>
      <c r="F573" s="147"/>
      <c r="G573" s="114"/>
      <c r="H573" s="147"/>
      <c r="I573" s="217"/>
      <c r="J573" s="212"/>
      <c r="K573" s="139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40"/>
      <c r="AC573" s="114"/>
      <c r="AD573" s="140"/>
      <c r="AE573" s="114"/>
      <c r="AF573" s="114"/>
      <c r="AG573" s="114"/>
    </row>
    <row r="574" spans="2:33" ht="12.75" customHeight="1" x14ac:dyDescent="0.2">
      <c r="B574" s="22"/>
      <c r="D574" s="114"/>
      <c r="E574" s="114"/>
      <c r="F574" s="147"/>
      <c r="G574" s="114"/>
      <c r="H574" s="147"/>
      <c r="I574" s="217"/>
      <c r="J574" s="212"/>
      <c r="K574" s="139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40"/>
      <c r="AC574" s="114"/>
      <c r="AD574" s="140"/>
      <c r="AE574" s="114"/>
      <c r="AF574" s="114"/>
      <c r="AG574" s="114"/>
    </row>
    <row r="575" spans="2:33" ht="12.75" customHeight="1" thickBot="1" x14ac:dyDescent="0.25">
      <c r="B575" s="22"/>
      <c r="D575" s="114"/>
      <c r="E575" s="114"/>
      <c r="F575" s="147"/>
      <c r="G575" s="205"/>
      <c r="H575" s="147"/>
      <c r="I575" s="217"/>
      <c r="J575" s="213"/>
      <c r="K575" s="139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  <c r="AA575" s="114"/>
      <c r="AB575" s="140"/>
      <c r="AC575" s="114"/>
      <c r="AD575" s="140"/>
      <c r="AE575" s="114"/>
      <c r="AF575" s="114"/>
      <c r="AG575" s="114"/>
    </row>
    <row r="576" spans="2:33" ht="12.75" customHeight="1" x14ac:dyDescent="0.2">
      <c r="B576" s="5" t="s">
        <v>11</v>
      </c>
      <c r="D576" s="271" t="s">
        <v>767</v>
      </c>
      <c r="E576" s="272"/>
      <c r="F576" s="272"/>
      <c r="G576" s="272"/>
      <c r="H576" s="272"/>
      <c r="I576" s="272"/>
      <c r="J576" s="272"/>
      <c r="K576" s="173">
        <f>SUM(K516:K575)</f>
        <v>44</v>
      </c>
      <c r="L576" s="173">
        <f t="shared" ref="L576:AG576" si="75">SUM(L516:L575)</f>
        <v>0</v>
      </c>
      <c r="M576" s="173">
        <f t="shared" si="75"/>
        <v>0.42234848484848481</v>
      </c>
      <c r="N576" s="173">
        <f t="shared" si="75"/>
        <v>0.3041666666666667</v>
      </c>
      <c r="O576" s="173">
        <f t="shared" si="75"/>
        <v>504</v>
      </c>
      <c r="P576" s="173">
        <f t="shared" si="75"/>
        <v>24</v>
      </c>
      <c r="Q576" s="173">
        <f t="shared" si="75"/>
        <v>0</v>
      </c>
      <c r="R576" s="173">
        <f t="shared" si="75"/>
        <v>0</v>
      </c>
      <c r="S576" s="173">
        <f t="shared" si="75"/>
        <v>34</v>
      </c>
      <c r="T576" s="173">
        <f t="shared" si="75"/>
        <v>1</v>
      </c>
      <c r="U576" s="173">
        <f t="shared" si="75"/>
        <v>8</v>
      </c>
      <c r="V576" s="173">
        <f t="shared" si="75"/>
        <v>1</v>
      </c>
      <c r="W576" s="173">
        <f t="shared" si="75"/>
        <v>0</v>
      </c>
      <c r="X576" s="173">
        <f t="shared" si="75"/>
        <v>76</v>
      </c>
      <c r="Y576" s="173">
        <f t="shared" si="75"/>
        <v>110</v>
      </c>
      <c r="Z576" s="173">
        <f t="shared" si="75"/>
        <v>2</v>
      </c>
      <c r="AA576" s="173">
        <f t="shared" si="75"/>
        <v>0</v>
      </c>
      <c r="AB576" s="173">
        <f t="shared" si="75"/>
        <v>0</v>
      </c>
      <c r="AC576" s="173">
        <f t="shared" si="75"/>
        <v>0</v>
      </c>
      <c r="AD576" s="173">
        <f t="shared" si="75"/>
        <v>0</v>
      </c>
      <c r="AE576" s="173">
        <f t="shared" si="75"/>
        <v>0</v>
      </c>
      <c r="AF576" s="173">
        <f t="shared" si="75"/>
        <v>0</v>
      </c>
      <c r="AG576" s="173">
        <f t="shared" si="75"/>
        <v>0</v>
      </c>
    </row>
    <row r="577" spans="2:33" ht="12.75" customHeight="1" x14ac:dyDescent="0.2">
      <c r="D577" s="191" t="s">
        <v>701</v>
      </c>
      <c r="E577" s="192"/>
      <c r="F577" s="192"/>
      <c r="G577" s="192"/>
      <c r="H577" s="192"/>
      <c r="I577" s="214"/>
      <c r="J577" s="214"/>
      <c r="K577" s="193">
        <f>SUMIF(J525:J575, 1, K525:K575)</f>
        <v>44</v>
      </c>
      <c r="L577" s="193">
        <f t="shared" ref="L577:AG577" si="76">SUMIF($J525:$J575, 1, L525:L575)</f>
        <v>0</v>
      </c>
      <c r="M577" s="193">
        <f t="shared" si="76"/>
        <v>0.42234848484848481</v>
      </c>
      <c r="N577" s="193">
        <f t="shared" si="76"/>
        <v>0.3041666666666667</v>
      </c>
      <c r="O577" s="193">
        <f t="shared" si="76"/>
        <v>504</v>
      </c>
      <c r="P577" s="193">
        <f t="shared" si="76"/>
        <v>24</v>
      </c>
      <c r="Q577" s="193">
        <f t="shared" si="76"/>
        <v>0</v>
      </c>
      <c r="R577" s="193">
        <f t="shared" si="76"/>
        <v>0</v>
      </c>
      <c r="S577" s="193">
        <f t="shared" si="76"/>
        <v>34</v>
      </c>
      <c r="T577" s="193">
        <f t="shared" si="76"/>
        <v>1</v>
      </c>
      <c r="U577" s="193">
        <f t="shared" si="76"/>
        <v>8</v>
      </c>
      <c r="V577" s="193">
        <f t="shared" si="76"/>
        <v>1</v>
      </c>
      <c r="W577" s="193">
        <f t="shared" si="76"/>
        <v>0</v>
      </c>
      <c r="X577" s="193">
        <f t="shared" si="76"/>
        <v>0</v>
      </c>
      <c r="Y577" s="193">
        <f t="shared" si="76"/>
        <v>41</v>
      </c>
      <c r="Z577" s="193">
        <f t="shared" si="76"/>
        <v>0</v>
      </c>
      <c r="AA577" s="193">
        <f t="shared" si="76"/>
        <v>0</v>
      </c>
      <c r="AB577" s="193">
        <f t="shared" si="76"/>
        <v>0</v>
      </c>
      <c r="AC577" s="193">
        <f t="shared" si="76"/>
        <v>0</v>
      </c>
      <c r="AD577" s="193">
        <f t="shared" si="76"/>
        <v>0</v>
      </c>
      <c r="AE577" s="193">
        <f t="shared" si="76"/>
        <v>0</v>
      </c>
      <c r="AF577" s="193">
        <f t="shared" si="76"/>
        <v>0</v>
      </c>
      <c r="AG577" s="193">
        <f t="shared" si="76"/>
        <v>0</v>
      </c>
    </row>
    <row r="578" spans="2:33" ht="12.75" customHeight="1" x14ac:dyDescent="0.2">
      <c r="D578" s="191" t="s">
        <v>702</v>
      </c>
      <c r="E578" s="192"/>
      <c r="F578" s="192"/>
      <c r="G578" s="192"/>
      <c r="H578" s="192"/>
      <c r="I578" s="214"/>
      <c r="J578" s="214"/>
      <c r="K578" s="193">
        <f>SUMIF(J525:J575, 4, K525:K575)</f>
        <v>0</v>
      </c>
      <c r="L578" s="193">
        <f t="shared" ref="L578:AG578" si="77">SUMIF($J525:$J575, 4, L525:L575)</f>
        <v>0</v>
      </c>
      <c r="M578" s="193">
        <f t="shared" si="77"/>
        <v>0</v>
      </c>
      <c r="N578" s="193">
        <f t="shared" si="77"/>
        <v>0</v>
      </c>
      <c r="O578" s="193">
        <f t="shared" si="77"/>
        <v>0</v>
      </c>
      <c r="P578" s="193">
        <f t="shared" si="77"/>
        <v>0</v>
      </c>
      <c r="Q578" s="193">
        <f t="shared" si="77"/>
        <v>0</v>
      </c>
      <c r="R578" s="193">
        <f t="shared" si="77"/>
        <v>0</v>
      </c>
      <c r="S578" s="193">
        <f t="shared" si="77"/>
        <v>0</v>
      </c>
      <c r="T578" s="193">
        <f t="shared" si="77"/>
        <v>0</v>
      </c>
      <c r="U578" s="193">
        <f t="shared" si="77"/>
        <v>0</v>
      </c>
      <c r="V578" s="193">
        <f t="shared" si="77"/>
        <v>0</v>
      </c>
      <c r="W578" s="193">
        <f t="shared" si="77"/>
        <v>0</v>
      </c>
      <c r="X578" s="193">
        <f t="shared" si="77"/>
        <v>0</v>
      </c>
      <c r="Y578" s="193">
        <f t="shared" si="77"/>
        <v>0</v>
      </c>
      <c r="Z578" s="193">
        <f t="shared" si="77"/>
        <v>0</v>
      </c>
      <c r="AA578" s="193">
        <f t="shared" si="77"/>
        <v>0</v>
      </c>
      <c r="AB578" s="193">
        <f t="shared" si="77"/>
        <v>0</v>
      </c>
      <c r="AC578" s="193">
        <f t="shared" si="77"/>
        <v>0</v>
      </c>
      <c r="AD578" s="193">
        <f t="shared" si="77"/>
        <v>0</v>
      </c>
      <c r="AE578" s="193">
        <f t="shared" si="77"/>
        <v>0</v>
      </c>
      <c r="AF578" s="193">
        <f t="shared" si="77"/>
        <v>0</v>
      </c>
      <c r="AG578" s="193">
        <f t="shared" si="77"/>
        <v>0</v>
      </c>
    </row>
    <row r="579" spans="2:33" ht="12.75" customHeight="1" x14ac:dyDescent="0.2">
      <c r="D579" s="191" t="s">
        <v>703</v>
      </c>
      <c r="E579" s="192"/>
      <c r="F579" s="192"/>
      <c r="G579" s="192"/>
      <c r="H579" s="192"/>
      <c r="I579" s="214"/>
      <c r="J579" s="214"/>
      <c r="K579" s="193">
        <f>SUMIF(J525:J575, 6, K525:K575)</f>
        <v>0</v>
      </c>
      <c r="L579" s="193">
        <f t="shared" ref="L579:AG579" si="78">SUMIF($J525:$J575, 6, L525:L575)</f>
        <v>0</v>
      </c>
      <c r="M579" s="193">
        <f t="shared" si="78"/>
        <v>0</v>
      </c>
      <c r="N579" s="193">
        <f t="shared" si="78"/>
        <v>0</v>
      </c>
      <c r="O579" s="193">
        <f t="shared" si="78"/>
        <v>0</v>
      </c>
      <c r="P579" s="193">
        <f t="shared" si="78"/>
        <v>0</v>
      </c>
      <c r="Q579" s="193">
        <f t="shared" si="78"/>
        <v>0</v>
      </c>
      <c r="R579" s="193">
        <f t="shared" si="78"/>
        <v>0</v>
      </c>
      <c r="S579" s="193">
        <f t="shared" si="78"/>
        <v>0</v>
      </c>
      <c r="T579" s="193">
        <f t="shared" si="78"/>
        <v>0</v>
      </c>
      <c r="U579" s="193">
        <f t="shared" si="78"/>
        <v>0</v>
      </c>
      <c r="V579" s="193">
        <f t="shared" si="78"/>
        <v>0</v>
      </c>
      <c r="W579" s="193">
        <f t="shared" si="78"/>
        <v>0</v>
      </c>
      <c r="X579" s="193">
        <f t="shared" si="78"/>
        <v>0</v>
      </c>
      <c r="Y579" s="193">
        <f t="shared" si="78"/>
        <v>0</v>
      </c>
      <c r="Z579" s="193">
        <f t="shared" si="78"/>
        <v>0</v>
      </c>
      <c r="AA579" s="193">
        <f t="shared" si="78"/>
        <v>0</v>
      </c>
      <c r="AB579" s="193">
        <f t="shared" si="78"/>
        <v>0</v>
      </c>
      <c r="AC579" s="193">
        <f t="shared" si="78"/>
        <v>0</v>
      </c>
      <c r="AD579" s="193">
        <f t="shared" si="78"/>
        <v>0</v>
      </c>
      <c r="AE579" s="193">
        <f t="shared" si="78"/>
        <v>0</v>
      </c>
      <c r="AF579" s="193">
        <f t="shared" si="78"/>
        <v>0</v>
      </c>
      <c r="AG579" s="193">
        <f t="shared" si="78"/>
        <v>0</v>
      </c>
    </row>
    <row r="580" spans="2:33" ht="12.75" customHeight="1" thickBot="1" x14ac:dyDescent="0.25">
      <c r="I580" s="215"/>
      <c r="J580" s="215"/>
    </row>
    <row r="581" spans="2:33" ht="12.75" customHeight="1" thickBot="1" x14ac:dyDescent="0.25">
      <c r="B581" s="20" t="s">
        <v>9</v>
      </c>
      <c r="D581" s="277" t="str">
        <f>"SUBSUMMARY SHEET " &amp; B582</f>
        <v>SUBSUMMARY SHEET 8</v>
      </c>
      <c r="E581" s="277"/>
      <c r="F581" s="277"/>
      <c r="G581" s="277"/>
      <c r="H581" s="277"/>
      <c r="I581" s="277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  <c r="X581" s="277"/>
      <c r="Y581" s="277"/>
      <c r="Z581" s="277"/>
      <c r="AA581" s="277"/>
      <c r="AB581" s="277"/>
      <c r="AC581" s="277"/>
      <c r="AD581" s="277"/>
      <c r="AE581" s="277"/>
      <c r="AF581" s="194"/>
      <c r="AG581" s="194"/>
    </row>
    <row r="582" spans="2:33" ht="12.75" customHeight="1" thickBot="1" x14ac:dyDescent="0.25">
      <c r="B582" s="24">
        <v>8</v>
      </c>
      <c r="D582" s="279" t="s">
        <v>7</v>
      </c>
      <c r="E582" s="279"/>
      <c r="F582" s="279"/>
      <c r="G582" s="279"/>
      <c r="H582" s="279"/>
      <c r="I582" s="209"/>
      <c r="J582" s="209"/>
      <c r="K582" s="183" t="s">
        <v>26</v>
      </c>
      <c r="L582" s="183" t="s">
        <v>27</v>
      </c>
      <c r="M582" s="183" t="s">
        <v>693</v>
      </c>
      <c r="N582" s="183" t="s">
        <v>694</v>
      </c>
      <c r="O582" s="183" t="s">
        <v>40</v>
      </c>
      <c r="P582" s="183" t="s">
        <v>42</v>
      </c>
      <c r="Q582" s="183" t="s">
        <v>44</v>
      </c>
      <c r="R582" s="183" t="s">
        <v>705</v>
      </c>
      <c r="S582" s="183" t="s">
        <v>47</v>
      </c>
      <c r="T582" s="183" t="s">
        <v>49</v>
      </c>
      <c r="U582" s="183" t="s">
        <v>52</v>
      </c>
      <c r="V582" s="183" t="s">
        <v>53</v>
      </c>
      <c r="W582" s="183" t="s">
        <v>55</v>
      </c>
      <c r="X582" s="183" t="s">
        <v>57</v>
      </c>
      <c r="Y582" s="183" t="s">
        <v>63</v>
      </c>
      <c r="Z582" s="183" t="s">
        <v>65</v>
      </c>
      <c r="AA582" s="183" t="s">
        <v>707</v>
      </c>
      <c r="AB582" s="183" t="s">
        <v>709</v>
      </c>
      <c r="AC582" s="183" t="s">
        <v>70</v>
      </c>
      <c r="AD582" s="183" t="s">
        <v>71</v>
      </c>
      <c r="AE582" s="183" t="s">
        <v>72</v>
      </c>
      <c r="AF582" s="183" t="s">
        <v>73</v>
      </c>
      <c r="AG582" s="183" t="s">
        <v>688</v>
      </c>
    </row>
    <row r="583" spans="2:33" ht="12.75" customHeight="1" thickBot="1" x14ac:dyDescent="0.25">
      <c r="D583" s="280" t="s">
        <v>8</v>
      </c>
      <c r="E583" s="280"/>
      <c r="F583" s="280"/>
      <c r="G583" s="280"/>
      <c r="H583" s="280"/>
      <c r="I583" s="210"/>
      <c r="J583" s="210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</row>
    <row r="584" spans="2:33" ht="12.75" customHeight="1" x14ac:dyDescent="0.2">
      <c r="B584" s="250" t="s">
        <v>10</v>
      </c>
      <c r="D584" s="253" t="s">
        <v>20</v>
      </c>
      <c r="E584" s="253" t="s">
        <v>21</v>
      </c>
      <c r="F584" s="256" t="s">
        <v>0</v>
      </c>
      <c r="G584" s="257"/>
      <c r="H584" s="257"/>
      <c r="I584" s="262" t="s">
        <v>23</v>
      </c>
      <c r="J584" s="274" t="s">
        <v>704</v>
      </c>
      <c r="K584" s="161" t="str">
        <f>IF(OR(TRIM(K582)=0,TRIM(K582)=""),"",IF(IFERROR(TRIM(INDEX(QryItemNamed,MATCH(TRIM(K582),ITEM,0),2)),"")="Y","SPECIAL",LEFT(IFERROR(TRIM(INDEX(ITEM,MATCH(TRIM(K582),ITEM,0))),""),3)))</f>
        <v>621</v>
      </c>
      <c r="L584" s="145" t="str">
        <f>IF(OR(TRIM(L582)=0,TRIM(L582)=""),"",IF(IFERROR(TRIM(INDEX(QryItemNamed,MATCH(TRIM(L582),ITEM,0),2)),"")="Y","SPECIAL",LEFT(IFERROR(TRIM(INDEX(ITEM,MATCH(TRIM(L582),ITEM,0))),""),3)))</f>
        <v>621</v>
      </c>
      <c r="M584" s="145">
        <v>642</v>
      </c>
      <c r="N584" s="145">
        <v>642</v>
      </c>
      <c r="O584" s="145">
        <v>644</v>
      </c>
      <c r="P584" s="145">
        <v>644</v>
      </c>
      <c r="Q584" s="145">
        <v>644</v>
      </c>
      <c r="R584" s="145">
        <v>644</v>
      </c>
      <c r="S584" s="145">
        <v>644</v>
      </c>
      <c r="T584" s="145" t="s">
        <v>124</v>
      </c>
      <c r="U584" s="145">
        <v>644</v>
      </c>
      <c r="V584" s="145">
        <v>644</v>
      </c>
      <c r="W584" s="145">
        <v>644</v>
      </c>
      <c r="X584" s="145">
        <v>644</v>
      </c>
      <c r="Y584" s="145">
        <v>644</v>
      </c>
      <c r="Z584" s="145">
        <v>644</v>
      </c>
      <c r="AA584" s="145">
        <v>646</v>
      </c>
      <c r="AB584" s="145">
        <v>646</v>
      </c>
      <c r="AC584" s="145" t="s">
        <v>124</v>
      </c>
      <c r="AD584" s="145" t="s">
        <v>675</v>
      </c>
      <c r="AE584" s="145" t="s">
        <v>675</v>
      </c>
      <c r="AF584" s="145" t="s">
        <v>675</v>
      </c>
      <c r="AG584" s="145">
        <v>874</v>
      </c>
    </row>
    <row r="585" spans="2:33" ht="12.75" customHeight="1" x14ac:dyDescent="0.2">
      <c r="B585" s="251"/>
      <c r="D585" s="254"/>
      <c r="E585" s="254"/>
      <c r="F585" s="258"/>
      <c r="G585" s="259"/>
      <c r="H585" s="259"/>
      <c r="I585" s="263"/>
      <c r="J585" s="275"/>
      <c r="K585" s="265" t="str">
        <f>IF(OR(TRIM(K582)=0,TRIM(K582)=""),IF(K583="","",K583),IF(IFERROR(TRIM(INDEX(QryItemNamed,MATCH(TRIM(K582),ITEM,0),2)),"")="Y",TRIM(RIGHT(IFERROR(TRIM(INDEX(QryItemNamed,MATCH(TRIM(K582),ITEM,0),4)),"123456789012"),LEN(IFERROR(TRIM(INDEX(QryItemNamed,MATCH(TRIM(K582),ITEM,0),4)),"123456789012"))-9))&amp;K583,IFERROR(TRIM(INDEX(QryItemNamed,MATCH(TRIM(K582),ITEM,0),4))&amp;K583,"ITEM CODE DOES NOT EXIST IN ITEM MASTER")))</f>
        <v>RPM</v>
      </c>
      <c r="L585" s="244" t="str">
        <f>IF(OR(TRIM(L582)=0,TRIM(L582)=""),IF(L583="","",L583),IF(IFERROR(TRIM(INDEX(QryItemNamed,MATCH(TRIM(L582),ITEM,0),2)),"")="Y",TRIM(RIGHT(IFERROR(TRIM(INDEX(QryItemNamed,MATCH(TRIM(L582),ITEM,0),4)),"123456789012"),LEN(IFERROR(TRIM(INDEX(QryItemNamed,MATCH(TRIM(L582),ITEM,0),4)),"123456789012"))-9))&amp;L583,IFERROR(TRIM(INDEX(QryItemNamed,MATCH(TRIM(L582),ITEM,0),4))&amp;L583,"ITEM CODE DOES NOT EXIST IN ITEM MASTER")))</f>
        <v>RAISED PAVEMENT MARKER REMOVED</v>
      </c>
      <c r="M585" s="278" t="s">
        <v>692</v>
      </c>
      <c r="N585" s="278" t="s">
        <v>695</v>
      </c>
      <c r="O585" s="278" t="s">
        <v>41</v>
      </c>
      <c r="P585" s="278" t="s">
        <v>43</v>
      </c>
      <c r="Q585" s="278" t="s">
        <v>45</v>
      </c>
      <c r="R585" s="278" t="s">
        <v>706</v>
      </c>
      <c r="S585" s="244" t="s">
        <v>48</v>
      </c>
      <c r="T585" s="244" t="s">
        <v>50</v>
      </c>
      <c r="U585" s="244" t="s">
        <v>59</v>
      </c>
      <c r="V585" s="244" t="s">
        <v>54</v>
      </c>
      <c r="W585" s="244" t="s">
        <v>56</v>
      </c>
      <c r="X585" s="268" t="s">
        <v>58</v>
      </c>
      <c r="Y585" s="268" t="s">
        <v>64</v>
      </c>
      <c r="Z585" s="268" t="s">
        <v>66</v>
      </c>
      <c r="AA585" s="244" t="s">
        <v>708</v>
      </c>
      <c r="AB585" s="244" t="s">
        <v>32</v>
      </c>
      <c r="AC585" s="244" t="s">
        <v>74</v>
      </c>
      <c r="AD585" s="244" t="s">
        <v>672</v>
      </c>
      <c r="AE585" s="244" t="s">
        <v>671</v>
      </c>
      <c r="AF585" s="244" t="s">
        <v>670</v>
      </c>
      <c r="AG585" s="244" t="s">
        <v>689</v>
      </c>
    </row>
    <row r="586" spans="2:33" ht="12.75" customHeight="1" x14ac:dyDescent="0.2">
      <c r="B586" s="251"/>
      <c r="D586" s="254"/>
      <c r="E586" s="254"/>
      <c r="F586" s="258"/>
      <c r="G586" s="259"/>
      <c r="H586" s="259"/>
      <c r="I586" s="263"/>
      <c r="J586" s="275"/>
      <c r="K586" s="266"/>
      <c r="L586" s="245"/>
      <c r="M586" s="278"/>
      <c r="N586" s="278"/>
      <c r="O586" s="278"/>
      <c r="P586" s="278"/>
      <c r="Q586" s="278"/>
      <c r="R586" s="278"/>
      <c r="S586" s="245"/>
      <c r="T586" s="245"/>
      <c r="U586" s="245"/>
      <c r="V586" s="245"/>
      <c r="W586" s="245"/>
      <c r="X586" s="269"/>
      <c r="Y586" s="269"/>
      <c r="Z586" s="269"/>
      <c r="AA586" s="245"/>
      <c r="AB586" s="245"/>
      <c r="AC586" s="245"/>
      <c r="AD586" s="245"/>
      <c r="AE586" s="245"/>
      <c r="AF586" s="245"/>
      <c r="AG586" s="245"/>
    </row>
    <row r="587" spans="2:33" ht="12.75" customHeight="1" x14ac:dyDescent="0.2">
      <c r="B587" s="251"/>
      <c r="D587" s="254"/>
      <c r="E587" s="254"/>
      <c r="F587" s="258"/>
      <c r="G587" s="259"/>
      <c r="H587" s="259"/>
      <c r="I587" s="263"/>
      <c r="J587" s="275"/>
      <c r="K587" s="266"/>
      <c r="L587" s="245"/>
      <c r="M587" s="278"/>
      <c r="N587" s="278"/>
      <c r="O587" s="278"/>
      <c r="P587" s="278"/>
      <c r="Q587" s="278"/>
      <c r="R587" s="278"/>
      <c r="S587" s="245"/>
      <c r="T587" s="245"/>
      <c r="U587" s="245"/>
      <c r="V587" s="245"/>
      <c r="W587" s="245"/>
      <c r="X587" s="269"/>
      <c r="Y587" s="269"/>
      <c r="Z587" s="269"/>
      <c r="AA587" s="245"/>
      <c r="AB587" s="245"/>
      <c r="AC587" s="245"/>
      <c r="AD587" s="245"/>
      <c r="AE587" s="245"/>
      <c r="AF587" s="245"/>
      <c r="AG587" s="245"/>
    </row>
    <row r="588" spans="2:33" ht="12.75" customHeight="1" x14ac:dyDescent="0.2">
      <c r="B588" s="251"/>
      <c r="D588" s="254"/>
      <c r="E588" s="254"/>
      <c r="F588" s="258"/>
      <c r="G588" s="259"/>
      <c r="H588" s="259"/>
      <c r="I588" s="263"/>
      <c r="J588" s="275"/>
      <c r="K588" s="266"/>
      <c r="L588" s="245"/>
      <c r="M588" s="278"/>
      <c r="N588" s="278"/>
      <c r="O588" s="278"/>
      <c r="P588" s="278"/>
      <c r="Q588" s="278"/>
      <c r="R588" s="278"/>
      <c r="S588" s="245"/>
      <c r="T588" s="245"/>
      <c r="U588" s="245"/>
      <c r="V588" s="245"/>
      <c r="W588" s="245"/>
      <c r="X588" s="269"/>
      <c r="Y588" s="269"/>
      <c r="Z588" s="269"/>
      <c r="AA588" s="245"/>
      <c r="AB588" s="245"/>
      <c r="AC588" s="245"/>
      <c r="AD588" s="245"/>
      <c r="AE588" s="245"/>
      <c r="AF588" s="245"/>
      <c r="AG588" s="245"/>
    </row>
    <row r="589" spans="2:33" ht="12.75" customHeight="1" x14ac:dyDescent="0.2">
      <c r="B589" s="251"/>
      <c r="D589" s="254"/>
      <c r="E589" s="254"/>
      <c r="F589" s="258"/>
      <c r="G589" s="259"/>
      <c r="H589" s="259"/>
      <c r="I589" s="263"/>
      <c r="J589" s="275"/>
      <c r="K589" s="266"/>
      <c r="L589" s="245"/>
      <c r="M589" s="278"/>
      <c r="N589" s="278"/>
      <c r="O589" s="278"/>
      <c r="P589" s="278"/>
      <c r="Q589" s="278"/>
      <c r="R589" s="278"/>
      <c r="S589" s="245"/>
      <c r="T589" s="245"/>
      <c r="U589" s="245"/>
      <c r="V589" s="245"/>
      <c r="W589" s="245"/>
      <c r="X589" s="269"/>
      <c r="Y589" s="269"/>
      <c r="Z589" s="269"/>
      <c r="AA589" s="245"/>
      <c r="AB589" s="245"/>
      <c r="AC589" s="245"/>
      <c r="AD589" s="245"/>
      <c r="AE589" s="245"/>
      <c r="AF589" s="245"/>
      <c r="AG589" s="245"/>
    </row>
    <row r="590" spans="2:33" ht="12.75" customHeight="1" x14ac:dyDescent="0.2">
      <c r="B590" s="251"/>
      <c r="D590" s="254"/>
      <c r="E590" s="254"/>
      <c r="F590" s="258"/>
      <c r="G590" s="259"/>
      <c r="H590" s="259"/>
      <c r="I590" s="263"/>
      <c r="J590" s="275"/>
      <c r="K590" s="266"/>
      <c r="L590" s="245"/>
      <c r="M590" s="278"/>
      <c r="N590" s="278"/>
      <c r="O590" s="278"/>
      <c r="P590" s="278"/>
      <c r="Q590" s="278"/>
      <c r="R590" s="278"/>
      <c r="S590" s="245"/>
      <c r="T590" s="245"/>
      <c r="U590" s="245"/>
      <c r="V590" s="245"/>
      <c r="W590" s="245"/>
      <c r="X590" s="269"/>
      <c r="Y590" s="269"/>
      <c r="Z590" s="269"/>
      <c r="AA590" s="245"/>
      <c r="AB590" s="245"/>
      <c r="AC590" s="245"/>
      <c r="AD590" s="245"/>
      <c r="AE590" s="245"/>
      <c r="AF590" s="245"/>
      <c r="AG590" s="245"/>
    </row>
    <row r="591" spans="2:33" ht="12.75" customHeight="1" x14ac:dyDescent="0.2">
      <c r="B591" s="251"/>
      <c r="D591" s="254"/>
      <c r="E591" s="254"/>
      <c r="F591" s="258"/>
      <c r="G591" s="259"/>
      <c r="H591" s="259"/>
      <c r="I591" s="263"/>
      <c r="J591" s="275"/>
      <c r="K591" s="266"/>
      <c r="L591" s="245"/>
      <c r="M591" s="278"/>
      <c r="N591" s="278"/>
      <c r="O591" s="278"/>
      <c r="P591" s="278"/>
      <c r="Q591" s="278"/>
      <c r="R591" s="278"/>
      <c r="S591" s="245"/>
      <c r="T591" s="245"/>
      <c r="U591" s="245"/>
      <c r="V591" s="245"/>
      <c r="W591" s="245"/>
      <c r="X591" s="269"/>
      <c r="Y591" s="269"/>
      <c r="Z591" s="269"/>
      <c r="AA591" s="245"/>
      <c r="AB591" s="245"/>
      <c r="AC591" s="245"/>
      <c r="AD591" s="245"/>
      <c r="AE591" s="245"/>
      <c r="AF591" s="245"/>
      <c r="AG591" s="245"/>
    </row>
    <row r="592" spans="2:33" ht="12.75" customHeight="1" x14ac:dyDescent="0.2">
      <c r="B592" s="251"/>
      <c r="D592" s="254"/>
      <c r="E592" s="254"/>
      <c r="F592" s="258"/>
      <c r="G592" s="259"/>
      <c r="H592" s="259"/>
      <c r="I592" s="263"/>
      <c r="J592" s="275"/>
      <c r="K592" s="266"/>
      <c r="L592" s="245"/>
      <c r="M592" s="278"/>
      <c r="N592" s="278"/>
      <c r="O592" s="278"/>
      <c r="P592" s="278"/>
      <c r="Q592" s="278"/>
      <c r="R592" s="278"/>
      <c r="S592" s="245"/>
      <c r="T592" s="245"/>
      <c r="U592" s="245"/>
      <c r="V592" s="245"/>
      <c r="W592" s="245"/>
      <c r="X592" s="269"/>
      <c r="Y592" s="269"/>
      <c r="Z592" s="269"/>
      <c r="AA592" s="245"/>
      <c r="AB592" s="245"/>
      <c r="AC592" s="245"/>
      <c r="AD592" s="245"/>
      <c r="AE592" s="245"/>
      <c r="AF592" s="245"/>
      <c r="AG592" s="245"/>
    </row>
    <row r="593" spans="2:33" ht="12.75" customHeight="1" x14ac:dyDescent="0.2">
      <c r="B593" s="251"/>
      <c r="D593" s="254"/>
      <c r="E593" s="254"/>
      <c r="F593" s="258"/>
      <c r="G593" s="259"/>
      <c r="H593" s="259"/>
      <c r="I593" s="263"/>
      <c r="J593" s="275"/>
      <c r="K593" s="266"/>
      <c r="L593" s="245"/>
      <c r="M593" s="278"/>
      <c r="N593" s="278"/>
      <c r="O593" s="278"/>
      <c r="P593" s="278"/>
      <c r="Q593" s="278"/>
      <c r="R593" s="278"/>
      <c r="S593" s="245"/>
      <c r="T593" s="245"/>
      <c r="U593" s="245"/>
      <c r="V593" s="245"/>
      <c r="W593" s="245"/>
      <c r="X593" s="269"/>
      <c r="Y593" s="269"/>
      <c r="Z593" s="269"/>
      <c r="AA593" s="245"/>
      <c r="AB593" s="245"/>
      <c r="AC593" s="245"/>
      <c r="AD593" s="245"/>
      <c r="AE593" s="245"/>
      <c r="AF593" s="245"/>
      <c r="AG593" s="245"/>
    </row>
    <row r="594" spans="2:33" ht="12.75" customHeight="1" x14ac:dyDescent="0.2">
      <c r="B594" s="251"/>
      <c r="D594" s="254"/>
      <c r="E594" s="254"/>
      <c r="F594" s="258"/>
      <c r="G594" s="259"/>
      <c r="H594" s="259"/>
      <c r="I594" s="263"/>
      <c r="J594" s="275"/>
      <c r="K594" s="266"/>
      <c r="L594" s="245"/>
      <c r="M594" s="278"/>
      <c r="N594" s="278"/>
      <c r="O594" s="278"/>
      <c r="P594" s="278"/>
      <c r="Q594" s="278"/>
      <c r="R594" s="278"/>
      <c r="S594" s="245"/>
      <c r="T594" s="245"/>
      <c r="U594" s="245"/>
      <c r="V594" s="245"/>
      <c r="W594" s="245"/>
      <c r="X594" s="269"/>
      <c r="Y594" s="269"/>
      <c r="Z594" s="269"/>
      <c r="AA594" s="245"/>
      <c r="AB594" s="245"/>
      <c r="AC594" s="245"/>
      <c r="AD594" s="245"/>
      <c r="AE594" s="245"/>
      <c r="AF594" s="245"/>
      <c r="AG594" s="245"/>
    </row>
    <row r="595" spans="2:33" ht="12.75" customHeight="1" x14ac:dyDescent="0.2">
      <c r="B595" s="251"/>
      <c r="D595" s="254"/>
      <c r="E595" s="254"/>
      <c r="F595" s="258"/>
      <c r="G595" s="259"/>
      <c r="H595" s="259"/>
      <c r="I595" s="263"/>
      <c r="J595" s="275"/>
      <c r="K595" s="266"/>
      <c r="L595" s="245"/>
      <c r="M595" s="278"/>
      <c r="N595" s="278"/>
      <c r="O595" s="278"/>
      <c r="P595" s="278"/>
      <c r="Q595" s="278"/>
      <c r="R595" s="278"/>
      <c r="S595" s="245"/>
      <c r="T595" s="245"/>
      <c r="U595" s="245"/>
      <c r="V595" s="245"/>
      <c r="W595" s="245"/>
      <c r="X595" s="269"/>
      <c r="Y595" s="269"/>
      <c r="Z595" s="269"/>
      <c r="AA595" s="245"/>
      <c r="AB595" s="245"/>
      <c r="AC595" s="245"/>
      <c r="AD595" s="245"/>
      <c r="AE595" s="245"/>
      <c r="AF595" s="245"/>
      <c r="AG595" s="245"/>
    </row>
    <row r="596" spans="2:33" ht="12.75" customHeight="1" x14ac:dyDescent="0.2">
      <c r="B596" s="251"/>
      <c r="D596" s="254"/>
      <c r="E596" s="254"/>
      <c r="F596" s="258"/>
      <c r="G596" s="259"/>
      <c r="H596" s="259"/>
      <c r="I596" s="263"/>
      <c r="J596" s="275"/>
      <c r="K596" s="267"/>
      <c r="L596" s="246"/>
      <c r="M596" s="278"/>
      <c r="N596" s="278"/>
      <c r="O596" s="278"/>
      <c r="P596" s="278"/>
      <c r="Q596" s="278"/>
      <c r="R596" s="278"/>
      <c r="S596" s="246"/>
      <c r="T596" s="246"/>
      <c r="U596" s="246"/>
      <c r="V596" s="246"/>
      <c r="W596" s="246"/>
      <c r="X596" s="270"/>
      <c r="Y596" s="270"/>
      <c r="Z596" s="270"/>
      <c r="AA596" s="246"/>
      <c r="AB596" s="246"/>
      <c r="AC596" s="246"/>
      <c r="AD596" s="246"/>
      <c r="AE596" s="246"/>
      <c r="AF596" s="246"/>
      <c r="AG596" s="246"/>
    </row>
    <row r="597" spans="2:33" ht="12.75" customHeight="1" thickBot="1" x14ac:dyDescent="0.25">
      <c r="B597" s="252"/>
      <c r="D597" s="255"/>
      <c r="E597" s="255"/>
      <c r="F597" s="260"/>
      <c r="G597" s="261"/>
      <c r="H597" s="261"/>
      <c r="I597" s="264"/>
      <c r="J597" s="276"/>
      <c r="K597" s="138" t="str">
        <f t="shared" ref="K597:O597" si="79">IF(OR(TRIM(K582)=0,TRIM(K582)=""),"",IFERROR(TRIM(INDEX(QryItemNamed,MATCH(TRIM(K582),ITEM,0),3)),""))</f>
        <v>EACH</v>
      </c>
      <c r="L597" s="102" t="str">
        <f t="shared" si="79"/>
        <v>EACH</v>
      </c>
      <c r="M597" s="102" t="str">
        <f t="shared" si="79"/>
        <v>MILE</v>
      </c>
      <c r="N597" s="102" t="str">
        <f t="shared" si="79"/>
        <v>MILE</v>
      </c>
      <c r="O597" s="102" t="str">
        <f t="shared" si="79"/>
        <v>FT</v>
      </c>
      <c r="P597" s="102" t="s">
        <v>46</v>
      </c>
      <c r="Q597" s="102" t="s">
        <v>46</v>
      </c>
      <c r="R597" s="102" t="s">
        <v>46</v>
      </c>
      <c r="S597" s="102" t="s">
        <v>46</v>
      </c>
      <c r="T597" s="102" t="s">
        <v>51</v>
      </c>
      <c r="U597" s="102" t="s">
        <v>51</v>
      </c>
      <c r="V597" s="102" t="s">
        <v>51</v>
      </c>
      <c r="W597" s="102" t="s">
        <v>46</v>
      </c>
      <c r="X597" s="102" t="s">
        <v>46</v>
      </c>
      <c r="Y597" s="102" t="s">
        <v>46</v>
      </c>
      <c r="Z597" s="102" t="s">
        <v>51</v>
      </c>
      <c r="AA597" s="102" t="s">
        <v>673</v>
      </c>
      <c r="AB597" s="102" t="s">
        <v>673</v>
      </c>
      <c r="AC597" s="102" t="s">
        <v>673</v>
      </c>
      <c r="AD597" s="102" t="s">
        <v>673</v>
      </c>
      <c r="AE597" s="102" t="s">
        <v>673</v>
      </c>
      <c r="AF597" s="102" t="s">
        <v>673</v>
      </c>
      <c r="AG597" s="102" t="s">
        <v>673</v>
      </c>
    </row>
    <row r="598" spans="2:33" ht="12.75" customHeight="1" x14ac:dyDescent="0.2">
      <c r="B598" s="22">
        <v>1</v>
      </c>
      <c r="D598" s="114" t="s">
        <v>395</v>
      </c>
      <c r="E598" s="114" t="s">
        <v>756</v>
      </c>
      <c r="F598" s="147">
        <v>160000</v>
      </c>
      <c r="G598" s="114"/>
      <c r="H598" s="147">
        <v>160100</v>
      </c>
      <c r="I598" s="217" t="s">
        <v>24</v>
      </c>
      <c r="J598" s="212">
        <v>1</v>
      </c>
      <c r="K598" s="139"/>
      <c r="L598" s="114"/>
      <c r="M598" s="140">
        <f>(H598-F598)/5280</f>
        <v>1.893939393939394E-2</v>
      </c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4"/>
    </row>
    <row r="599" spans="2:33" ht="12.75" customHeight="1" x14ac:dyDescent="0.2">
      <c r="B599" s="22">
        <v>1</v>
      </c>
      <c r="D599" s="114" t="s">
        <v>396</v>
      </c>
      <c r="E599" s="114" t="s">
        <v>756</v>
      </c>
      <c r="F599" s="147">
        <v>160000</v>
      </c>
      <c r="G599" s="114"/>
      <c r="H599" s="147">
        <v>160100</v>
      </c>
      <c r="I599" s="217" t="s">
        <v>25</v>
      </c>
      <c r="J599" s="212">
        <v>1</v>
      </c>
      <c r="K599" s="139"/>
      <c r="L599" s="114"/>
      <c r="M599" s="140">
        <f>(H599-F599)/5280</f>
        <v>1.893939393939394E-2</v>
      </c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4"/>
    </row>
    <row r="600" spans="2:33" ht="12.75" customHeight="1" x14ac:dyDescent="0.2">
      <c r="B600" s="22">
        <v>1</v>
      </c>
      <c r="D600" s="155" t="s">
        <v>397</v>
      </c>
      <c r="E600" s="114" t="s">
        <v>756</v>
      </c>
      <c r="F600" s="147">
        <v>160000</v>
      </c>
      <c r="G600" s="114"/>
      <c r="H600" s="147">
        <v>160100</v>
      </c>
      <c r="I600" s="217" t="s">
        <v>24</v>
      </c>
      <c r="J600" s="212">
        <v>1</v>
      </c>
      <c r="K600" s="139"/>
      <c r="L600" s="114"/>
      <c r="M600" s="114"/>
      <c r="N600" s="140">
        <f>(H600-F600)/5280</f>
        <v>1.893939393939394E-2</v>
      </c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4"/>
    </row>
    <row r="601" spans="2:33" ht="12.75" customHeight="1" x14ac:dyDescent="0.2">
      <c r="B601" s="22">
        <v>1</v>
      </c>
      <c r="D601" s="155" t="s">
        <v>667</v>
      </c>
      <c r="E601" s="114" t="s">
        <v>756</v>
      </c>
      <c r="F601" s="147">
        <v>160000</v>
      </c>
      <c r="G601" s="114"/>
      <c r="H601" s="147">
        <v>160100</v>
      </c>
      <c r="I601" s="217" t="s">
        <v>24</v>
      </c>
      <c r="J601" s="212">
        <v>1</v>
      </c>
      <c r="K601" s="141">
        <f>ROUNDUP((H601-F601)/80,0)</f>
        <v>2</v>
      </c>
      <c r="L601" s="114"/>
      <c r="M601" s="114"/>
      <c r="N601" s="140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  <c r="AA601" s="114"/>
      <c r="AB601" s="114"/>
      <c r="AC601" s="114"/>
      <c r="AD601" s="114"/>
      <c r="AE601" s="114"/>
      <c r="AF601" s="114"/>
      <c r="AG601" s="114"/>
    </row>
    <row r="602" spans="2:33" ht="12.75" customHeight="1" x14ac:dyDescent="0.2">
      <c r="B602" s="22">
        <v>1</v>
      </c>
      <c r="D602" s="155" t="s">
        <v>398</v>
      </c>
      <c r="E602" s="114" t="s">
        <v>756</v>
      </c>
      <c r="F602" s="147">
        <v>160035</v>
      </c>
      <c r="G602" s="114"/>
      <c r="H602" s="147">
        <v>160100</v>
      </c>
      <c r="I602" s="217" t="s">
        <v>25</v>
      </c>
      <c r="J602" s="212">
        <v>1</v>
      </c>
      <c r="K602" s="139"/>
      <c r="L602" s="114"/>
      <c r="M602" s="114"/>
      <c r="N602" s="140">
        <f>(H602-F602)/5280</f>
        <v>1.231060606060606E-2</v>
      </c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  <c r="AA602" s="114"/>
      <c r="AB602" s="114"/>
      <c r="AC602" s="114"/>
      <c r="AD602" s="114"/>
      <c r="AE602" s="114"/>
      <c r="AF602" s="114"/>
      <c r="AG602" s="114"/>
    </row>
    <row r="603" spans="2:33" ht="12.75" customHeight="1" x14ac:dyDescent="0.2">
      <c r="B603" s="22">
        <v>1</v>
      </c>
      <c r="D603" s="155" t="s">
        <v>668</v>
      </c>
      <c r="E603" s="114" t="s">
        <v>756</v>
      </c>
      <c r="F603" s="147">
        <v>160035</v>
      </c>
      <c r="G603" s="114"/>
      <c r="H603" s="147">
        <v>160100</v>
      </c>
      <c r="I603" s="217" t="s">
        <v>25</v>
      </c>
      <c r="J603" s="212">
        <v>1</v>
      </c>
      <c r="K603" s="141">
        <f>ROUNDUP((H603-F603)/80,0)</f>
        <v>1</v>
      </c>
      <c r="L603" s="114"/>
      <c r="M603" s="114"/>
      <c r="N603" s="140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  <c r="AA603" s="114"/>
      <c r="AB603" s="114"/>
      <c r="AC603" s="114"/>
      <c r="AD603" s="114"/>
      <c r="AE603" s="114"/>
      <c r="AF603" s="114"/>
      <c r="AG603" s="114"/>
    </row>
    <row r="604" spans="2:33" ht="12.75" customHeight="1" x14ac:dyDescent="0.2">
      <c r="B604" s="22">
        <v>1</v>
      </c>
      <c r="D604" s="114" t="s">
        <v>399</v>
      </c>
      <c r="E604" s="114" t="s">
        <v>756</v>
      </c>
      <c r="F604" s="147">
        <v>160035</v>
      </c>
      <c r="G604" s="114"/>
      <c r="H604" s="156"/>
      <c r="I604" s="217" t="s">
        <v>25</v>
      </c>
      <c r="J604" s="212">
        <v>1</v>
      </c>
      <c r="K604" s="139"/>
      <c r="L604" s="114"/>
      <c r="M604" s="114"/>
      <c r="N604" s="114"/>
      <c r="O604" s="114"/>
      <c r="P604" s="114">
        <v>12</v>
      </c>
      <c r="Q604" s="114"/>
      <c r="R604" s="114"/>
      <c r="S604" s="114"/>
      <c r="T604" s="114"/>
      <c r="U604" s="114"/>
      <c r="V604" s="114"/>
      <c r="W604" s="110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14"/>
    </row>
    <row r="605" spans="2:33" ht="12.75" customHeight="1" x14ac:dyDescent="0.2">
      <c r="B605" s="22">
        <v>1</v>
      </c>
      <c r="D605" s="114" t="s">
        <v>400</v>
      </c>
      <c r="E605" s="114" t="s">
        <v>756</v>
      </c>
      <c r="F605" s="147">
        <v>160035</v>
      </c>
      <c r="G605" s="114"/>
      <c r="H605" s="147">
        <v>160100</v>
      </c>
      <c r="I605" s="217" t="s">
        <v>35</v>
      </c>
      <c r="J605" s="212">
        <v>1</v>
      </c>
      <c r="K605" s="139"/>
      <c r="L605" s="114"/>
      <c r="M605" s="114"/>
      <c r="N605" s="114"/>
      <c r="O605" s="114"/>
      <c r="P605" s="114"/>
      <c r="Q605" s="114"/>
      <c r="R605" s="114"/>
      <c r="S605" s="114">
        <f>2.5+5.5</f>
        <v>8</v>
      </c>
      <c r="T605" s="114"/>
      <c r="U605" s="114"/>
      <c r="V605" s="114"/>
      <c r="W605" s="110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14"/>
    </row>
    <row r="606" spans="2:33" ht="12.75" customHeight="1" thickBot="1" x14ac:dyDescent="0.25">
      <c r="B606" s="22"/>
      <c r="D606" s="114"/>
      <c r="E606" s="114"/>
      <c r="F606" s="147"/>
      <c r="G606" s="114"/>
      <c r="H606" s="147"/>
      <c r="I606" s="217"/>
      <c r="J606" s="216"/>
      <c r="K606" s="139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0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14"/>
    </row>
    <row r="607" spans="2:33" ht="12.75" customHeight="1" x14ac:dyDescent="0.2">
      <c r="B607" s="22"/>
      <c r="C607" s="5">
        <f>884+18</f>
        <v>902</v>
      </c>
      <c r="D607" s="114" t="s">
        <v>68</v>
      </c>
      <c r="E607" s="203" t="s">
        <v>757</v>
      </c>
      <c r="F607" s="147">
        <v>59750</v>
      </c>
      <c r="G607" s="114"/>
      <c r="H607" s="147">
        <v>65450</v>
      </c>
      <c r="I607" s="217" t="s">
        <v>24</v>
      </c>
      <c r="J607" s="211">
        <v>4</v>
      </c>
      <c r="K607" s="139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40"/>
      <c r="AA607" s="140">
        <f>($H607-$F607)/5280</f>
        <v>1.0795454545454546</v>
      </c>
      <c r="AB607" s="114"/>
      <c r="AC607" s="140">
        <f>($H607-$F607)/5280</f>
        <v>1.0795454545454546</v>
      </c>
      <c r="AD607" s="114"/>
      <c r="AE607" s="114"/>
      <c r="AF607" s="114"/>
      <c r="AG607" s="114"/>
    </row>
    <row r="608" spans="2:33" ht="12.75" customHeight="1" x14ac:dyDescent="0.2">
      <c r="B608" s="22"/>
      <c r="C608" s="5">
        <f>896+18</f>
        <v>914</v>
      </c>
      <c r="D608" s="114" t="s">
        <v>75</v>
      </c>
      <c r="E608" s="203" t="s">
        <v>757</v>
      </c>
      <c r="F608" s="147">
        <v>59750</v>
      </c>
      <c r="G608" s="114"/>
      <c r="H608" s="147">
        <v>65450</v>
      </c>
      <c r="I608" s="217" t="s">
        <v>25</v>
      </c>
      <c r="J608" s="212">
        <v>4</v>
      </c>
      <c r="K608" s="139"/>
      <c r="L608" s="114"/>
      <c r="M608" s="140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40"/>
      <c r="AA608" s="140">
        <f>($H608-$F608)/5280</f>
        <v>1.0795454545454546</v>
      </c>
      <c r="AB608" s="114"/>
      <c r="AC608" s="140">
        <f>($H608-$F608)/5280</f>
        <v>1.0795454545454546</v>
      </c>
      <c r="AD608" s="114"/>
      <c r="AE608" s="114"/>
      <c r="AF608" s="114"/>
      <c r="AG608" s="114"/>
    </row>
    <row r="609" spans="2:33" ht="12.75" customHeight="1" x14ac:dyDescent="0.2">
      <c r="B609" s="22"/>
      <c r="D609" s="114" t="s">
        <v>68</v>
      </c>
      <c r="E609" s="203" t="s">
        <v>757</v>
      </c>
      <c r="F609" s="147">
        <v>65450</v>
      </c>
      <c r="G609" s="114"/>
      <c r="H609" s="147">
        <v>65888</v>
      </c>
      <c r="I609" s="217" t="s">
        <v>24</v>
      </c>
      <c r="J609" s="216">
        <v>1</v>
      </c>
      <c r="K609" s="139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40"/>
      <c r="AA609" s="140">
        <f>($H609-$F609)/5280</f>
        <v>8.2954545454545461E-2</v>
      </c>
      <c r="AB609" s="114"/>
      <c r="AC609" s="140">
        <f>($H609-$F609)/5280</f>
        <v>8.2954545454545461E-2</v>
      </c>
      <c r="AD609" s="114"/>
      <c r="AE609" s="114"/>
      <c r="AF609" s="114"/>
      <c r="AG609" s="114"/>
    </row>
    <row r="610" spans="2:33" ht="12.75" customHeight="1" x14ac:dyDescent="0.2">
      <c r="B610" s="22"/>
      <c r="D610" s="114" t="s">
        <v>75</v>
      </c>
      <c r="E610" s="203" t="s">
        <v>757</v>
      </c>
      <c r="F610" s="147">
        <v>65450</v>
      </c>
      <c r="G610" s="114"/>
      <c r="H610" s="147">
        <v>65888</v>
      </c>
      <c r="I610" s="217" t="s">
        <v>25</v>
      </c>
      <c r="J610" s="212">
        <v>1</v>
      </c>
      <c r="K610" s="139"/>
      <c r="L610" s="114"/>
      <c r="M610" s="140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40"/>
      <c r="AA610" s="140">
        <f>($H610-$F610)/5280</f>
        <v>8.2954545454545461E-2</v>
      </c>
      <c r="AB610" s="114"/>
      <c r="AC610" s="140">
        <f>($H610-$F610)/5280</f>
        <v>8.2954545454545461E-2</v>
      </c>
      <c r="AD610" s="114"/>
      <c r="AE610" s="114"/>
      <c r="AF610" s="114"/>
      <c r="AG610" s="114"/>
    </row>
    <row r="611" spans="2:33" ht="12.75" customHeight="1" x14ac:dyDescent="0.2">
      <c r="B611" s="22"/>
      <c r="D611" s="114"/>
      <c r="E611" s="114"/>
      <c r="F611" s="147"/>
      <c r="G611" s="114"/>
      <c r="H611" s="147"/>
      <c r="I611" s="217"/>
      <c r="J611" s="212"/>
      <c r="K611" s="139"/>
      <c r="L611" s="114"/>
      <c r="M611" s="140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40"/>
      <c r="AA611" s="140"/>
      <c r="AB611" s="114"/>
      <c r="AC611" s="140"/>
      <c r="AD611" s="114"/>
      <c r="AE611" s="114"/>
      <c r="AF611" s="114"/>
      <c r="AG611" s="114"/>
    </row>
    <row r="612" spans="2:33" ht="12.75" customHeight="1" x14ac:dyDescent="0.2">
      <c r="B612" s="22"/>
      <c r="C612" s="5">
        <f>896+18</f>
        <v>914</v>
      </c>
      <c r="D612" s="114" t="s">
        <v>79</v>
      </c>
      <c r="E612" s="114" t="s">
        <v>758</v>
      </c>
      <c r="F612" s="146">
        <v>65982</v>
      </c>
      <c r="G612" s="114"/>
      <c r="H612" s="147">
        <v>68187</v>
      </c>
      <c r="I612" s="217" t="s">
        <v>24</v>
      </c>
      <c r="J612" s="212">
        <v>1</v>
      </c>
      <c r="K612" s="139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40"/>
      <c r="AA612" s="140">
        <f>($H612-$F612)/5280</f>
        <v>0.41761363636363635</v>
      </c>
      <c r="AB612" s="114"/>
      <c r="AC612" s="140">
        <f>($H612-$F612)/5280</f>
        <v>0.41761363636363635</v>
      </c>
      <c r="AD612" s="114"/>
      <c r="AE612" s="140"/>
      <c r="AF612" s="114"/>
      <c r="AG612" s="114"/>
    </row>
    <row r="613" spans="2:33" ht="12.75" customHeight="1" x14ac:dyDescent="0.2">
      <c r="B613" s="22"/>
      <c r="C613" s="5">
        <f>901+18</f>
        <v>919</v>
      </c>
      <c r="D613" s="114" t="s">
        <v>80</v>
      </c>
      <c r="E613" s="114" t="s">
        <v>758</v>
      </c>
      <c r="F613" s="146">
        <v>65982</v>
      </c>
      <c r="G613" s="114"/>
      <c r="H613" s="147">
        <v>68187</v>
      </c>
      <c r="I613" s="217" t="s">
        <v>25</v>
      </c>
      <c r="J613" s="212">
        <v>1</v>
      </c>
      <c r="K613" s="139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40"/>
      <c r="AA613" s="140">
        <f>($H613-$F613)/5280</f>
        <v>0.41761363636363635</v>
      </c>
      <c r="AB613" s="114"/>
      <c r="AC613" s="140">
        <f>($H613-$F613)/5280</f>
        <v>0.41761363636363635</v>
      </c>
      <c r="AD613" s="114"/>
      <c r="AE613" s="140"/>
      <c r="AF613" s="114"/>
      <c r="AG613" s="114"/>
    </row>
    <row r="614" spans="2:33" ht="12.75" customHeight="1" x14ac:dyDescent="0.2">
      <c r="B614" s="22"/>
      <c r="D614" s="114"/>
      <c r="E614" s="114"/>
      <c r="F614" s="147"/>
      <c r="G614" s="114"/>
      <c r="H614" s="147"/>
      <c r="I614" s="217"/>
      <c r="J614" s="212"/>
      <c r="K614" s="139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40"/>
      <c r="AA614" s="140"/>
      <c r="AB614" s="114"/>
      <c r="AC614" s="140"/>
      <c r="AD614" s="114"/>
      <c r="AE614" s="140"/>
      <c r="AF614" s="114"/>
      <c r="AG614" s="114"/>
    </row>
    <row r="615" spans="2:33" ht="12.75" customHeight="1" x14ac:dyDescent="0.2">
      <c r="B615" s="22"/>
      <c r="C615" s="5">
        <f>902+18</f>
        <v>920</v>
      </c>
      <c r="D615" s="114" t="s">
        <v>84</v>
      </c>
      <c r="E615" s="114" t="s">
        <v>759</v>
      </c>
      <c r="F615" s="146">
        <v>68869</v>
      </c>
      <c r="G615" s="114"/>
      <c r="H615" s="147">
        <v>69250</v>
      </c>
      <c r="I615" s="217" t="s">
        <v>24</v>
      </c>
      <c r="J615" s="212">
        <v>1</v>
      </c>
      <c r="K615" s="139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0"/>
      <c r="W615" s="114"/>
      <c r="X615" s="114"/>
      <c r="Y615" s="114"/>
      <c r="Z615" s="140"/>
      <c r="AA615" s="140">
        <f>($H615-$F615)/5280</f>
        <v>7.2159090909090909E-2</v>
      </c>
      <c r="AB615" s="140"/>
      <c r="AC615" s="140">
        <f>($H615-$F615)/5280</f>
        <v>7.2159090909090909E-2</v>
      </c>
      <c r="AD615" s="140"/>
      <c r="AE615" s="114"/>
      <c r="AF615" s="114"/>
      <c r="AG615" s="114"/>
    </row>
    <row r="616" spans="2:33" ht="12.75" customHeight="1" x14ac:dyDescent="0.2">
      <c r="B616" s="22"/>
      <c r="C616" s="5">
        <f>910+18</f>
        <v>928</v>
      </c>
      <c r="D616" s="114" t="s">
        <v>85</v>
      </c>
      <c r="E616" s="114" t="s">
        <v>759</v>
      </c>
      <c r="F616" s="146">
        <v>68870</v>
      </c>
      <c r="G616" s="114"/>
      <c r="H616" s="147">
        <v>69250</v>
      </c>
      <c r="I616" s="217" t="s">
        <v>25</v>
      </c>
      <c r="J616" s="212">
        <v>1</v>
      </c>
      <c r="K616" s="139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0"/>
      <c r="W616" s="114"/>
      <c r="X616" s="114"/>
      <c r="Y616" s="114"/>
      <c r="Z616" s="140"/>
      <c r="AA616" s="140">
        <f>($H616-$F616)/5280</f>
        <v>7.1969696969696975E-2</v>
      </c>
      <c r="AB616" s="140"/>
      <c r="AC616" s="140">
        <f>($H616-$F616)/5280</f>
        <v>7.1969696969696975E-2</v>
      </c>
      <c r="AD616" s="140"/>
      <c r="AE616" s="114"/>
      <c r="AF616" s="114"/>
      <c r="AG616" s="114"/>
    </row>
    <row r="617" spans="2:33" ht="12.75" customHeight="1" x14ac:dyDescent="0.2">
      <c r="B617" s="22"/>
      <c r="D617" s="114" t="s">
        <v>84</v>
      </c>
      <c r="E617" s="114" t="s">
        <v>759</v>
      </c>
      <c r="F617" s="146">
        <v>69250</v>
      </c>
      <c r="G617" s="114"/>
      <c r="H617" s="147">
        <v>72862</v>
      </c>
      <c r="I617" s="217" t="s">
        <v>24</v>
      </c>
      <c r="J617" s="212">
        <v>4</v>
      </c>
      <c r="K617" s="139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0"/>
      <c r="W617" s="114"/>
      <c r="X617" s="114"/>
      <c r="Y617" s="114"/>
      <c r="Z617" s="140"/>
      <c r="AA617" s="140">
        <f>($H617-$F617)/5280</f>
        <v>0.68409090909090908</v>
      </c>
      <c r="AB617" s="140"/>
      <c r="AC617" s="140">
        <f>($H617-$F617)/5280</f>
        <v>0.68409090909090908</v>
      </c>
      <c r="AD617" s="140"/>
      <c r="AE617" s="114"/>
      <c r="AF617" s="114"/>
      <c r="AG617" s="114"/>
    </row>
    <row r="618" spans="2:33" ht="12.75" customHeight="1" x14ac:dyDescent="0.2">
      <c r="B618" s="22"/>
      <c r="D618" s="114" t="s">
        <v>85</v>
      </c>
      <c r="E618" s="114" t="s">
        <v>759</v>
      </c>
      <c r="F618" s="146">
        <v>69250</v>
      </c>
      <c r="G618" s="114"/>
      <c r="H618" s="147">
        <v>72862</v>
      </c>
      <c r="I618" s="217" t="s">
        <v>25</v>
      </c>
      <c r="J618" s="212">
        <v>4</v>
      </c>
      <c r="K618" s="139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0"/>
      <c r="W618" s="114"/>
      <c r="X618" s="114"/>
      <c r="Y618" s="114"/>
      <c r="Z618" s="140"/>
      <c r="AA618" s="140">
        <f>($H618-$F618)/5280</f>
        <v>0.68409090909090908</v>
      </c>
      <c r="AB618" s="140"/>
      <c r="AC618" s="140">
        <f>($H618-$F618)/5280</f>
        <v>0.68409090909090908</v>
      </c>
      <c r="AD618" s="140"/>
      <c r="AE618" s="114"/>
      <c r="AF618" s="114"/>
      <c r="AG618" s="114"/>
    </row>
    <row r="619" spans="2:33" ht="12.75" customHeight="1" x14ac:dyDescent="0.2">
      <c r="B619" s="22"/>
      <c r="D619" s="114"/>
      <c r="E619" s="114"/>
      <c r="F619" s="147"/>
      <c r="G619" s="114"/>
      <c r="H619" s="147"/>
      <c r="I619" s="217"/>
      <c r="J619" s="212"/>
      <c r="K619" s="139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0"/>
      <c r="W619" s="114"/>
      <c r="X619" s="114"/>
      <c r="Y619" s="114"/>
      <c r="Z619" s="140"/>
      <c r="AA619" s="140"/>
      <c r="AB619" s="140"/>
      <c r="AC619" s="140"/>
      <c r="AD619" s="140"/>
      <c r="AE619" s="114"/>
      <c r="AF619" s="114"/>
      <c r="AG619" s="114"/>
    </row>
    <row r="620" spans="2:33" ht="12.75" customHeight="1" x14ac:dyDescent="0.2">
      <c r="B620" s="22"/>
      <c r="C620" s="5">
        <f>911+18</f>
        <v>929</v>
      </c>
      <c r="D620" s="114" t="s">
        <v>90</v>
      </c>
      <c r="E620" s="114" t="s">
        <v>760</v>
      </c>
      <c r="F620" s="147">
        <v>172608</v>
      </c>
      <c r="G620" s="114"/>
      <c r="H620" s="147">
        <v>173335</v>
      </c>
      <c r="I620" s="217" t="s">
        <v>24</v>
      </c>
      <c r="J620" s="212">
        <v>1</v>
      </c>
      <c r="K620" s="139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40"/>
      <c r="AA620" s="140">
        <f>($H620-$F620)/5280</f>
        <v>0.13768939393939394</v>
      </c>
      <c r="AB620" s="114"/>
      <c r="AC620" s="140">
        <f>($H620-$F620)/5280</f>
        <v>0.13768939393939394</v>
      </c>
      <c r="AD620" s="114"/>
      <c r="AE620" s="114"/>
      <c r="AF620" s="114"/>
      <c r="AG620" s="114"/>
    </row>
    <row r="621" spans="2:33" ht="12.75" customHeight="1" x14ac:dyDescent="0.2">
      <c r="B621" s="22"/>
      <c r="C621" s="5">
        <f>913+18</f>
        <v>931</v>
      </c>
      <c r="D621" s="114" t="s">
        <v>91</v>
      </c>
      <c r="E621" s="114" t="s">
        <v>760</v>
      </c>
      <c r="F621" s="146">
        <v>172608</v>
      </c>
      <c r="G621" s="114"/>
      <c r="H621" s="147">
        <v>173208</v>
      </c>
      <c r="I621" s="217" t="s">
        <v>25</v>
      </c>
      <c r="J621" s="212">
        <v>1</v>
      </c>
      <c r="K621" s="139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40"/>
      <c r="AA621" s="140">
        <f>($H621-$F621)/5280</f>
        <v>0.11363636363636363</v>
      </c>
      <c r="AB621" s="114"/>
      <c r="AC621" s="140">
        <f>($H621-$F621)/5280</f>
        <v>0.11363636363636363</v>
      </c>
      <c r="AD621" s="114"/>
      <c r="AE621" s="114"/>
      <c r="AF621" s="114"/>
      <c r="AG621" s="114"/>
    </row>
    <row r="622" spans="2:33" ht="12.75" customHeight="1" x14ac:dyDescent="0.2">
      <c r="B622" s="22"/>
      <c r="D622" s="114"/>
      <c r="E622" s="114"/>
      <c r="F622" s="147"/>
      <c r="G622" s="114"/>
      <c r="H622" s="147"/>
      <c r="I622" s="217"/>
      <c r="J622" s="212"/>
      <c r="K622" s="139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40"/>
      <c r="AA622" s="140"/>
      <c r="AB622" s="114"/>
      <c r="AC622" s="140"/>
      <c r="AD622" s="114"/>
      <c r="AE622" s="114"/>
      <c r="AF622" s="114"/>
      <c r="AG622" s="114"/>
    </row>
    <row r="623" spans="2:33" ht="12.75" customHeight="1" x14ac:dyDescent="0.2">
      <c r="B623" s="22"/>
      <c r="C623" s="5">
        <f>914+18</f>
        <v>932</v>
      </c>
      <c r="D623" s="114" t="s">
        <v>94</v>
      </c>
      <c r="E623" s="114" t="s">
        <v>761</v>
      </c>
      <c r="F623" s="146">
        <v>174149</v>
      </c>
      <c r="G623" s="114"/>
      <c r="H623" s="147">
        <v>174550</v>
      </c>
      <c r="I623" s="217" t="s">
        <v>25</v>
      </c>
      <c r="J623" s="212">
        <v>1</v>
      </c>
      <c r="K623" s="139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40"/>
      <c r="AA623" s="140">
        <f>($H623-$F623)/5280</f>
        <v>7.5946969696969693E-2</v>
      </c>
      <c r="AB623" s="114"/>
      <c r="AC623" s="140">
        <f>($H623-$F623)/5280</f>
        <v>7.5946969696969693E-2</v>
      </c>
      <c r="AD623" s="114"/>
      <c r="AE623" s="114"/>
      <c r="AF623" s="140"/>
      <c r="AG623" s="140"/>
    </row>
    <row r="624" spans="2:33" ht="12.75" customHeight="1" x14ac:dyDescent="0.2">
      <c r="B624" s="22"/>
      <c r="C624" s="5">
        <f>915+18</f>
        <v>933</v>
      </c>
      <c r="D624" s="114" t="s">
        <v>95</v>
      </c>
      <c r="E624" s="114" t="s">
        <v>761</v>
      </c>
      <c r="F624" s="146">
        <v>174149</v>
      </c>
      <c r="G624" s="114"/>
      <c r="H624" s="147">
        <v>174550</v>
      </c>
      <c r="I624" s="217" t="s">
        <v>24</v>
      </c>
      <c r="J624" s="212">
        <v>1</v>
      </c>
      <c r="K624" s="139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40"/>
      <c r="AA624" s="140">
        <f>($H624-$F624)/5280</f>
        <v>7.5946969696969693E-2</v>
      </c>
      <c r="AB624" s="114"/>
      <c r="AC624" s="140">
        <f>($H624-$F624)/5280</f>
        <v>7.5946969696969693E-2</v>
      </c>
      <c r="AD624" s="114"/>
      <c r="AE624" s="140"/>
      <c r="AF624" s="140"/>
      <c r="AG624" s="140"/>
    </row>
    <row r="625" spans="2:33" ht="12.75" customHeight="1" x14ac:dyDescent="0.2">
      <c r="B625" s="22"/>
      <c r="D625" s="114"/>
      <c r="E625" s="114"/>
      <c r="F625" s="147"/>
      <c r="G625" s="114"/>
      <c r="H625" s="147"/>
      <c r="I625" s="217"/>
      <c r="J625" s="212"/>
      <c r="K625" s="139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40"/>
      <c r="AA625" s="140"/>
      <c r="AB625" s="114"/>
      <c r="AC625" s="140"/>
      <c r="AD625" s="114"/>
      <c r="AE625" s="140"/>
      <c r="AF625" s="140"/>
      <c r="AG625" s="140"/>
    </row>
    <row r="626" spans="2:33" ht="12.75" customHeight="1" x14ac:dyDescent="0.2">
      <c r="B626" s="22"/>
      <c r="C626" s="5">
        <f>896+18</f>
        <v>914</v>
      </c>
      <c r="D626" s="114" t="s">
        <v>78</v>
      </c>
      <c r="E626" s="114" t="s">
        <v>736</v>
      </c>
      <c r="F626" s="146">
        <v>65888</v>
      </c>
      <c r="G626" s="114"/>
      <c r="H626" s="147">
        <v>65982</v>
      </c>
      <c r="I626" s="217" t="s">
        <v>24</v>
      </c>
      <c r="J626" s="212">
        <v>6</v>
      </c>
      <c r="K626" s="139"/>
      <c r="L626" s="114"/>
      <c r="M626" s="114"/>
      <c r="N626" s="140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  <c r="AA626" s="114"/>
      <c r="AB626" s="140">
        <f>($H626-$F626)/5280</f>
        <v>1.7803030303030303E-2</v>
      </c>
      <c r="AC626" s="114"/>
      <c r="AD626" s="140">
        <f>($H626-$F626)/5280</f>
        <v>1.7803030303030303E-2</v>
      </c>
      <c r="AE626" s="140"/>
      <c r="AF626" s="140"/>
      <c r="AG626" s="140"/>
    </row>
    <row r="627" spans="2:33" ht="12.75" customHeight="1" x14ac:dyDescent="0.2">
      <c r="B627" s="22"/>
      <c r="D627" s="114" t="s">
        <v>77</v>
      </c>
      <c r="E627" s="114" t="s">
        <v>736</v>
      </c>
      <c r="F627" s="146">
        <v>65888</v>
      </c>
      <c r="G627" s="114"/>
      <c r="H627" s="147">
        <v>65982</v>
      </c>
      <c r="I627" s="217" t="s">
        <v>25</v>
      </c>
      <c r="J627" s="212">
        <v>6</v>
      </c>
      <c r="K627" s="139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  <c r="AA627" s="114"/>
      <c r="AB627" s="140">
        <f>($H627-$F627)/5280</f>
        <v>1.7803030303030303E-2</v>
      </c>
      <c r="AC627" s="114"/>
      <c r="AD627" s="140">
        <f>($H627-$F627)/5280</f>
        <v>1.7803030303030303E-2</v>
      </c>
      <c r="AE627" s="114"/>
      <c r="AF627" s="114"/>
      <c r="AG627" s="114"/>
    </row>
    <row r="628" spans="2:33" ht="12.75" customHeight="1" x14ac:dyDescent="0.2">
      <c r="B628" s="22"/>
      <c r="D628" s="114"/>
      <c r="E628" s="114"/>
      <c r="F628" s="147"/>
      <c r="G628" s="114"/>
      <c r="H628" s="147"/>
      <c r="I628" s="217"/>
      <c r="J628" s="212"/>
      <c r="K628" s="139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  <c r="AA628" s="114"/>
      <c r="AB628" s="140"/>
      <c r="AC628" s="114"/>
      <c r="AD628" s="140"/>
      <c r="AE628" s="114"/>
      <c r="AF628" s="114"/>
      <c r="AG628" s="114"/>
    </row>
    <row r="629" spans="2:33" ht="12.75" customHeight="1" x14ac:dyDescent="0.2">
      <c r="B629" s="22"/>
      <c r="C629" s="5">
        <f>884+18</f>
        <v>902</v>
      </c>
      <c r="D629" s="114" t="s">
        <v>69</v>
      </c>
      <c r="E629" s="114" t="s">
        <v>724</v>
      </c>
      <c r="F629" s="147">
        <v>59750</v>
      </c>
      <c r="G629" s="114"/>
      <c r="H629" s="147">
        <v>62600</v>
      </c>
      <c r="I629" s="217" t="s">
        <v>35</v>
      </c>
      <c r="J629" s="212">
        <v>4</v>
      </c>
      <c r="K629" s="139"/>
      <c r="L629" s="114"/>
      <c r="M629" s="140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  <c r="AA629" s="114"/>
      <c r="AB629" s="114"/>
      <c r="AC629" s="114"/>
      <c r="AD629" s="114"/>
      <c r="AE629" s="140">
        <f>($H629-$F629)/5280</f>
        <v>0.53977272727272729</v>
      </c>
      <c r="AF629" s="114"/>
      <c r="AG629" s="140">
        <f>($H629-$F629)/5280</f>
        <v>0.53977272727272729</v>
      </c>
    </row>
    <row r="630" spans="2:33" ht="12.75" customHeight="1" x14ac:dyDescent="0.2">
      <c r="B630" s="22"/>
      <c r="D630" s="114" t="s">
        <v>76</v>
      </c>
      <c r="E630" s="114" t="s">
        <v>724</v>
      </c>
      <c r="F630" s="147">
        <v>59750</v>
      </c>
      <c r="G630" s="114"/>
      <c r="H630" s="147">
        <v>65450</v>
      </c>
      <c r="I630" s="217" t="s">
        <v>35</v>
      </c>
      <c r="J630" s="212">
        <v>4</v>
      </c>
      <c r="K630" s="139"/>
      <c r="L630" s="114"/>
      <c r="M630" s="114"/>
      <c r="N630" s="140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  <c r="AA630" s="114"/>
      <c r="AB630" s="114"/>
      <c r="AC630" s="114"/>
      <c r="AD630" s="114"/>
      <c r="AE630" s="140">
        <f>($H630-$F630)/5280</f>
        <v>1.0795454545454546</v>
      </c>
      <c r="AF630" s="114"/>
      <c r="AG630" s="140">
        <f>($H630-$F630)/5280</f>
        <v>1.0795454545454546</v>
      </c>
    </row>
    <row r="631" spans="2:33" ht="12.75" customHeight="1" x14ac:dyDescent="0.2">
      <c r="B631" s="22"/>
      <c r="D631" s="114" t="s">
        <v>76</v>
      </c>
      <c r="E631" s="114" t="s">
        <v>724</v>
      </c>
      <c r="F631" s="147">
        <v>65450</v>
      </c>
      <c r="G631" s="114"/>
      <c r="H631" s="147">
        <v>65888</v>
      </c>
      <c r="I631" s="217" t="s">
        <v>35</v>
      </c>
      <c r="J631" s="212">
        <v>1</v>
      </c>
      <c r="K631" s="139"/>
      <c r="L631" s="114"/>
      <c r="M631" s="114"/>
      <c r="N631" s="140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  <c r="AA631" s="114"/>
      <c r="AB631" s="114"/>
      <c r="AC631" s="114"/>
      <c r="AD631" s="114"/>
      <c r="AE631" s="140">
        <f>($H631-$F631)/5280</f>
        <v>8.2954545454545461E-2</v>
      </c>
      <c r="AF631" s="114"/>
      <c r="AG631" s="140">
        <f>($H631-$F631)/5280</f>
        <v>8.2954545454545461E-2</v>
      </c>
    </row>
    <row r="632" spans="2:33" ht="12.75" customHeight="1" x14ac:dyDescent="0.2">
      <c r="B632" s="22"/>
      <c r="D632" s="114"/>
      <c r="E632" s="114"/>
      <c r="F632" s="147"/>
      <c r="G632" s="114"/>
      <c r="H632" s="147"/>
      <c r="I632" s="217"/>
      <c r="J632" s="212"/>
      <c r="K632" s="139"/>
      <c r="L632" s="114"/>
      <c r="M632" s="114"/>
      <c r="N632" s="140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  <c r="AA632" s="114"/>
      <c r="AB632" s="114"/>
      <c r="AC632" s="114"/>
      <c r="AD632" s="114"/>
      <c r="AE632" s="140"/>
      <c r="AF632" s="114"/>
      <c r="AG632" s="140"/>
    </row>
    <row r="633" spans="2:33" ht="12.75" customHeight="1" x14ac:dyDescent="0.2">
      <c r="B633" s="22"/>
      <c r="C633" s="5">
        <f>896+18</f>
        <v>914</v>
      </c>
      <c r="D633" s="114" t="s">
        <v>82</v>
      </c>
      <c r="E633" s="114" t="s">
        <v>758</v>
      </c>
      <c r="F633" s="147">
        <v>65982</v>
      </c>
      <c r="G633" s="114"/>
      <c r="H633" s="147">
        <v>68187</v>
      </c>
      <c r="I633" s="217" t="s">
        <v>61</v>
      </c>
      <c r="J633" s="212">
        <v>1</v>
      </c>
      <c r="K633" s="139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  <c r="AA633" s="114"/>
      <c r="AB633" s="114"/>
      <c r="AC633" s="114"/>
      <c r="AD633" s="114"/>
      <c r="AE633" s="140">
        <f>($H633-$F633)/5280</f>
        <v>0.41761363636363635</v>
      </c>
      <c r="AF633" s="114"/>
      <c r="AG633" s="140">
        <f>($H633-$F633)/5280</f>
        <v>0.41761363636363635</v>
      </c>
    </row>
    <row r="634" spans="2:33" ht="12.75" customHeight="1" x14ac:dyDescent="0.2">
      <c r="B634" s="22"/>
      <c r="C634" s="5">
        <f>901+18</f>
        <v>919</v>
      </c>
      <c r="D634" s="114"/>
      <c r="E634" s="114"/>
      <c r="F634" s="147"/>
      <c r="G634" s="114"/>
      <c r="H634" s="147"/>
      <c r="I634" s="217"/>
      <c r="J634" s="212"/>
      <c r="K634" s="139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  <c r="AA634" s="114"/>
      <c r="AB634" s="114"/>
      <c r="AC634" s="114"/>
      <c r="AD634" s="114"/>
      <c r="AE634" s="140"/>
      <c r="AF634" s="114"/>
      <c r="AG634" s="140"/>
    </row>
    <row r="635" spans="2:33" ht="12.75" customHeight="1" x14ac:dyDescent="0.2">
      <c r="B635" s="22"/>
      <c r="C635" s="5">
        <f>900+18</f>
        <v>918</v>
      </c>
      <c r="D635" s="114" t="s">
        <v>81</v>
      </c>
      <c r="E635" s="114" t="s">
        <v>762</v>
      </c>
      <c r="F635" s="146">
        <v>67887</v>
      </c>
      <c r="G635" s="114"/>
      <c r="H635" s="147">
        <v>68187</v>
      </c>
      <c r="I635" s="217" t="s">
        <v>24</v>
      </c>
      <c r="J635" s="212">
        <v>1</v>
      </c>
      <c r="K635" s="139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  <c r="AA635" s="114"/>
      <c r="AB635" s="114"/>
      <c r="AC635" s="114"/>
      <c r="AD635" s="114"/>
      <c r="AE635" s="140">
        <f>($H635-$F635)/5280</f>
        <v>5.6818181818181816E-2</v>
      </c>
      <c r="AF635" s="114"/>
      <c r="AG635" s="140">
        <f>($H635-$F635)/5280</f>
        <v>5.6818181818181816E-2</v>
      </c>
    </row>
    <row r="636" spans="2:33" ht="12.75" customHeight="1" x14ac:dyDescent="0.2">
      <c r="B636" s="22"/>
      <c r="C636" s="5">
        <f>901+18</f>
        <v>919</v>
      </c>
      <c r="D636" s="114"/>
      <c r="E636" s="114"/>
      <c r="F636" s="147"/>
      <c r="G636" s="114"/>
      <c r="H636" s="147"/>
      <c r="I636" s="217"/>
      <c r="J636" s="212"/>
      <c r="K636" s="139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  <c r="AA636" s="114"/>
      <c r="AB636" s="114"/>
      <c r="AC636" s="114"/>
      <c r="AD636" s="114"/>
      <c r="AE636" s="140"/>
      <c r="AF636" s="114"/>
      <c r="AG636" s="140"/>
    </row>
    <row r="637" spans="2:33" ht="12.75" customHeight="1" x14ac:dyDescent="0.2">
      <c r="B637" s="22"/>
      <c r="C637" s="5">
        <f>902+18</f>
        <v>920</v>
      </c>
      <c r="D637" s="114" t="s">
        <v>86</v>
      </c>
      <c r="E637" s="114" t="s">
        <v>742</v>
      </c>
      <c r="F637" s="146">
        <v>68723</v>
      </c>
      <c r="G637" s="114"/>
      <c r="H637" s="147">
        <v>69100</v>
      </c>
      <c r="I637" s="217" t="s">
        <v>24</v>
      </c>
      <c r="J637" s="212">
        <v>1</v>
      </c>
      <c r="K637" s="139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  <c r="AA637" s="114"/>
      <c r="AB637" s="114"/>
      <c r="AC637" s="114"/>
      <c r="AD637" s="114"/>
      <c r="AE637" s="140">
        <f>($H637-$F637)/5280</f>
        <v>7.1401515151515146E-2</v>
      </c>
      <c r="AF637" s="114"/>
      <c r="AG637" s="140">
        <f>($H637-$F637)/5280</f>
        <v>7.1401515151515146E-2</v>
      </c>
    </row>
    <row r="638" spans="2:33" ht="12.75" customHeight="1" x14ac:dyDescent="0.2">
      <c r="B638" s="22"/>
      <c r="C638" s="5">
        <f>902+18</f>
        <v>920</v>
      </c>
      <c r="D638" s="114" t="s">
        <v>88</v>
      </c>
      <c r="E638" s="114" t="s">
        <v>759</v>
      </c>
      <c r="F638" s="146">
        <v>68723</v>
      </c>
      <c r="G638" s="114"/>
      <c r="H638" s="147">
        <v>69250</v>
      </c>
      <c r="I638" s="217" t="s">
        <v>87</v>
      </c>
      <c r="J638" s="212">
        <v>1</v>
      </c>
      <c r="K638" s="139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  <c r="AA638" s="114"/>
      <c r="AB638" s="114"/>
      <c r="AC638" s="114"/>
      <c r="AD638" s="114"/>
      <c r="AE638" s="140">
        <f>($H638-$F638)/5280</f>
        <v>9.9810606060606058E-2</v>
      </c>
      <c r="AF638" s="114"/>
      <c r="AG638" s="140">
        <f>($H638-$F638)/5280</f>
        <v>9.9810606060606058E-2</v>
      </c>
    </row>
    <row r="639" spans="2:33" ht="12.75" customHeight="1" x14ac:dyDescent="0.2">
      <c r="B639" s="22"/>
      <c r="C639" s="5">
        <f>910+18</f>
        <v>928</v>
      </c>
      <c r="D639" s="114" t="s">
        <v>88</v>
      </c>
      <c r="E639" s="114" t="s">
        <v>759</v>
      </c>
      <c r="F639" s="146">
        <v>69250</v>
      </c>
      <c r="G639" s="114"/>
      <c r="H639" s="147">
        <v>72862</v>
      </c>
      <c r="I639" s="217" t="s">
        <v>87</v>
      </c>
      <c r="J639" s="212">
        <v>4</v>
      </c>
      <c r="K639" s="139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  <c r="AA639" s="114"/>
      <c r="AB639" s="114"/>
      <c r="AC639" s="114"/>
      <c r="AD639" s="114"/>
      <c r="AE639" s="140">
        <f>($H639-$F639)/5280</f>
        <v>0.68409090909090908</v>
      </c>
      <c r="AF639" s="114"/>
      <c r="AG639" s="140">
        <f>($H639-$F639)/5280</f>
        <v>0.68409090909090908</v>
      </c>
    </row>
    <row r="640" spans="2:33" ht="12.75" customHeight="1" x14ac:dyDescent="0.2">
      <c r="B640" s="22"/>
      <c r="D640" s="114"/>
      <c r="E640" s="114"/>
      <c r="F640" s="147"/>
      <c r="G640" s="114"/>
      <c r="H640" s="147"/>
      <c r="I640" s="217"/>
      <c r="J640" s="212"/>
      <c r="K640" s="139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  <c r="AA640" s="114"/>
      <c r="AB640" s="114"/>
      <c r="AC640" s="114"/>
      <c r="AD640" s="114"/>
      <c r="AE640" s="140"/>
      <c r="AF640" s="114"/>
      <c r="AG640" s="140"/>
    </row>
    <row r="641" spans="2:33" ht="12.75" customHeight="1" x14ac:dyDescent="0.2">
      <c r="B641" s="22"/>
      <c r="C641" s="5">
        <f>905+18</f>
        <v>923</v>
      </c>
      <c r="D641" s="114" t="s">
        <v>89</v>
      </c>
      <c r="E641" s="114" t="s">
        <v>763</v>
      </c>
      <c r="F641" s="146">
        <v>69894</v>
      </c>
      <c r="G641" s="114"/>
      <c r="H641" s="147">
        <v>71891</v>
      </c>
      <c r="I641" s="217" t="s">
        <v>25</v>
      </c>
      <c r="J641" s="212">
        <v>4</v>
      </c>
      <c r="K641" s="139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  <c r="AA641" s="114"/>
      <c r="AB641" s="114"/>
      <c r="AC641" s="114"/>
      <c r="AD641" s="114"/>
      <c r="AE641" s="140">
        <f>($H641-$F641)/5280</f>
        <v>0.37821969696969698</v>
      </c>
      <c r="AF641" s="114"/>
      <c r="AG641" s="140">
        <f>($H641-$F641)/5280</f>
        <v>0.37821969696969698</v>
      </c>
    </row>
    <row r="642" spans="2:33" ht="12.75" customHeight="1" x14ac:dyDescent="0.2">
      <c r="B642" s="22"/>
      <c r="C642" s="5">
        <f>909+18</f>
        <v>927</v>
      </c>
      <c r="D642" s="114"/>
      <c r="E642" s="114"/>
      <c r="F642" s="147"/>
      <c r="G642" s="114"/>
      <c r="H642" s="147"/>
      <c r="I642" s="217"/>
      <c r="J642" s="212"/>
      <c r="K642" s="139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  <c r="AA642" s="114"/>
      <c r="AB642" s="114"/>
      <c r="AC642" s="114"/>
      <c r="AD642" s="114"/>
      <c r="AE642" s="140"/>
      <c r="AF642" s="114"/>
      <c r="AG642" s="140"/>
    </row>
    <row r="643" spans="2:33" ht="12.75" customHeight="1" x14ac:dyDescent="0.2">
      <c r="B643" s="22"/>
      <c r="C643" s="5">
        <f>911+18</f>
        <v>929</v>
      </c>
      <c r="D643" s="114" t="s">
        <v>92</v>
      </c>
      <c r="E643" s="114" t="s">
        <v>760</v>
      </c>
      <c r="F643" s="146">
        <v>172608</v>
      </c>
      <c r="G643" s="114"/>
      <c r="H643" s="147">
        <v>173365</v>
      </c>
      <c r="I643" s="217" t="s">
        <v>61</v>
      </c>
      <c r="J643" s="212">
        <v>1</v>
      </c>
      <c r="K643" s="139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  <c r="AA643" s="114"/>
      <c r="AB643" s="114"/>
      <c r="AC643" s="114"/>
      <c r="AD643" s="114"/>
      <c r="AE643" s="140">
        <f>($H643-$F643)/5280</f>
        <v>0.14337121212121212</v>
      </c>
      <c r="AF643" s="114"/>
      <c r="AG643" s="140">
        <f>($H643-$F643)/5280</f>
        <v>0.14337121212121212</v>
      </c>
    </row>
    <row r="644" spans="2:33" ht="12.75" customHeight="1" x14ac:dyDescent="0.2">
      <c r="B644" s="22"/>
      <c r="C644" s="5">
        <f>913+18</f>
        <v>931</v>
      </c>
      <c r="D644" s="114"/>
      <c r="E644" s="114"/>
      <c r="F644" s="147"/>
      <c r="G644" s="114"/>
      <c r="H644" s="147"/>
      <c r="I644" s="217"/>
      <c r="J644" s="212"/>
      <c r="K644" s="139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  <c r="AA644" s="114"/>
      <c r="AB644" s="114"/>
      <c r="AC644" s="114"/>
      <c r="AD644" s="114"/>
      <c r="AE644" s="140"/>
      <c r="AF644" s="114"/>
      <c r="AG644" s="140"/>
    </row>
    <row r="645" spans="2:33" ht="12.75" customHeight="1" x14ac:dyDescent="0.2">
      <c r="B645" s="22"/>
      <c r="C645" s="5">
        <f>912+18</f>
        <v>930</v>
      </c>
      <c r="D645" s="114" t="s">
        <v>93</v>
      </c>
      <c r="E645" s="114" t="s">
        <v>764</v>
      </c>
      <c r="F645" s="146">
        <v>173185</v>
      </c>
      <c r="G645" s="114"/>
      <c r="H645" s="147">
        <v>173365</v>
      </c>
      <c r="I645" s="217" t="s">
        <v>24</v>
      </c>
      <c r="J645" s="212">
        <v>1</v>
      </c>
      <c r="K645" s="139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  <c r="AA645" s="114"/>
      <c r="AB645" s="114"/>
      <c r="AC645" s="114"/>
      <c r="AD645" s="114"/>
      <c r="AE645" s="140">
        <f>($H645-$F645)/5280</f>
        <v>3.4090909090909088E-2</v>
      </c>
      <c r="AF645" s="114"/>
      <c r="AG645" s="140">
        <f>($H645-$F645)/5280</f>
        <v>3.4090909090909088E-2</v>
      </c>
    </row>
    <row r="646" spans="2:33" ht="12.75" customHeight="1" x14ac:dyDescent="0.2">
      <c r="B646" s="22"/>
      <c r="C646" s="5">
        <f>913+18</f>
        <v>931</v>
      </c>
      <c r="D646" s="114"/>
      <c r="E646" s="114"/>
      <c r="F646" s="147"/>
      <c r="G646" s="114"/>
      <c r="H646" s="147"/>
      <c r="I646" s="217"/>
      <c r="J646" s="212"/>
      <c r="K646" s="139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  <c r="AA646" s="114"/>
      <c r="AB646" s="114"/>
      <c r="AC646" s="114"/>
      <c r="AD646" s="114"/>
      <c r="AE646" s="140"/>
      <c r="AF646" s="114"/>
      <c r="AG646" s="140"/>
    </row>
    <row r="647" spans="2:33" ht="12.75" customHeight="1" x14ac:dyDescent="0.2">
      <c r="B647" s="22"/>
      <c r="C647" s="5">
        <f>914+18</f>
        <v>932</v>
      </c>
      <c r="D647" s="114" t="s">
        <v>96</v>
      </c>
      <c r="E647" s="114" t="s">
        <v>761</v>
      </c>
      <c r="F647" s="146">
        <v>173907</v>
      </c>
      <c r="G647" s="114"/>
      <c r="H647" s="147">
        <v>174550</v>
      </c>
      <c r="I647" s="217" t="s">
        <v>25</v>
      </c>
      <c r="J647" s="212">
        <v>1</v>
      </c>
      <c r="K647" s="139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  <c r="AA647" s="114"/>
      <c r="AB647" s="114"/>
      <c r="AC647" s="114"/>
      <c r="AD647" s="114"/>
      <c r="AE647" s="140">
        <f>($H647-$F647)/5280</f>
        <v>0.12178030303030303</v>
      </c>
      <c r="AF647" s="114"/>
      <c r="AG647" s="140">
        <f>($H647-$F647)/5280</f>
        <v>0.12178030303030303</v>
      </c>
    </row>
    <row r="648" spans="2:33" ht="12.75" customHeight="1" x14ac:dyDescent="0.2">
      <c r="B648" s="22"/>
      <c r="D648" s="114" t="s">
        <v>97</v>
      </c>
      <c r="E648" s="114" t="s">
        <v>761</v>
      </c>
      <c r="F648" s="146">
        <v>173907</v>
      </c>
      <c r="G648" s="114"/>
      <c r="H648" s="147">
        <v>174550</v>
      </c>
      <c r="I648" s="217" t="s">
        <v>24</v>
      </c>
      <c r="J648" s="212">
        <v>1</v>
      </c>
      <c r="K648" s="139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  <c r="AA648" s="114"/>
      <c r="AB648" s="114"/>
      <c r="AC648" s="114"/>
      <c r="AD648" s="114"/>
      <c r="AE648" s="140"/>
      <c r="AF648" s="140">
        <f>($H649-$F649)/5280</f>
        <v>1.7803030303030303E-2</v>
      </c>
      <c r="AG648" s="140"/>
    </row>
    <row r="649" spans="2:33" ht="12.75" customHeight="1" x14ac:dyDescent="0.2">
      <c r="B649" s="22"/>
      <c r="C649" s="5">
        <f>896+18</f>
        <v>914</v>
      </c>
      <c r="D649" s="114" t="s">
        <v>83</v>
      </c>
      <c r="E649" s="114" t="s">
        <v>736</v>
      </c>
      <c r="F649" s="146">
        <v>65888</v>
      </c>
      <c r="G649" s="114"/>
      <c r="H649" s="147">
        <v>65982</v>
      </c>
      <c r="I649" s="217" t="s">
        <v>35</v>
      </c>
      <c r="J649" s="212">
        <v>6</v>
      </c>
      <c r="K649" s="139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  <c r="AA649" s="114"/>
      <c r="AB649" s="140"/>
      <c r="AC649" s="114"/>
      <c r="AD649" s="140"/>
      <c r="AE649" s="114"/>
      <c r="AF649" s="114"/>
      <c r="AG649" s="114"/>
    </row>
    <row r="650" spans="2:33" ht="12.75" customHeight="1" x14ac:dyDescent="0.2">
      <c r="B650" s="22"/>
      <c r="D650" s="114"/>
      <c r="E650" s="114"/>
      <c r="F650" s="147"/>
      <c r="G650" s="114"/>
      <c r="H650" s="147"/>
      <c r="I650" s="217"/>
      <c r="J650" s="212"/>
      <c r="K650" s="139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0"/>
      <c r="W650" s="114"/>
      <c r="X650" s="114"/>
      <c r="Y650" s="114"/>
      <c r="Z650" s="114"/>
      <c r="AA650" s="114"/>
      <c r="AB650" s="114"/>
      <c r="AC650" s="114"/>
      <c r="AD650" s="114"/>
      <c r="AE650" s="114"/>
      <c r="AF650" s="114"/>
      <c r="AG650" s="114"/>
    </row>
    <row r="651" spans="2:33" ht="12.75" customHeight="1" x14ac:dyDescent="0.2">
      <c r="B651" s="22"/>
      <c r="D651" s="114"/>
      <c r="E651" s="114"/>
      <c r="F651" s="147"/>
      <c r="G651" s="114"/>
      <c r="H651" s="147"/>
      <c r="I651" s="217"/>
      <c r="J651" s="212"/>
      <c r="K651" s="139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40"/>
      <c r="AA651" s="114"/>
      <c r="AB651" s="114"/>
      <c r="AC651" s="114"/>
      <c r="AD651" s="114"/>
      <c r="AE651" s="114"/>
      <c r="AF651" s="114"/>
      <c r="AG651" s="114"/>
    </row>
    <row r="652" spans="2:33" ht="12.75" customHeight="1" x14ac:dyDescent="0.2">
      <c r="B652" s="22"/>
      <c r="D652" s="114"/>
      <c r="E652" s="114"/>
      <c r="F652" s="146"/>
      <c r="G652" s="114"/>
      <c r="H652" s="147"/>
      <c r="I652" s="217"/>
      <c r="J652" s="212"/>
      <c r="K652" s="139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  <c r="AA652" s="114"/>
      <c r="AB652" s="140"/>
      <c r="AC652" s="114"/>
      <c r="AD652" s="140"/>
      <c r="AE652" s="114"/>
      <c r="AF652" s="114"/>
      <c r="AG652" s="114"/>
    </row>
    <row r="653" spans="2:33" ht="12.75" customHeight="1" x14ac:dyDescent="0.2">
      <c r="B653" s="22"/>
      <c r="D653" s="114"/>
      <c r="E653" s="114"/>
      <c r="F653" s="147"/>
      <c r="G653" s="114"/>
      <c r="H653" s="147"/>
      <c r="I653" s="217"/>
      <c r="J653" s="212"/>
      <c r="K653" s="139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  <c r="AA653" s="114"/>
      <c r="AB653" s="140"/>
      <c r="AC653" s="114"/>
      <c r="AD653" s="140"/>
      <c r="AE653" s="114"/>
      <c r="AF653" s="114"/>
      <c r="AG653" s="114"/>
    </row>
    <row r="654" spans="2:33" ht="12.75" customHeight="1" x14ac:dyDescent="0.2">
      <c r="B654" s="22"/>
      <c r="D654" s="114"/>
      <c r="E654" s="114"/>
      <c r="F654" s="147"/>
      <c r="G654" s="114"/>
      <c r="H654" s="147"/>
      <c r="I654" s="217"/>
      <c r="J654" s="212"/>
      <c r="K654" s="139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  <c r="AA654" s="114"/>
      <c r="AB654" s="140"/>
      <c r="AC654" s="114"/>
      <c r="AD654" s="140"/>
      <c r="AE654" s="114"/>
      <c r="AF654" s="114"/>
      <c r="AG654" s="114"/>
    </row>
    <row r="655" spans="2:33" ht="12.75" customHeight="1" x14ac:dyDescent="0.2">
      <c r="B655" s="22"/>
      <c r="D655" s="114"/>
      <c r="E655" s="114"/>
      <c r="F655" s="147"/>
      <c r="G655" s="114"/>
      <c r="H655" s="147"/>
      <c r="I655" s="217"/>
      <c r="J655" s="212"/>
      <c r="K655" s="139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  <c r="AA655" s="114"/>
      <c r="AB655" s="140"/>
      <c r="AC655" s="114"/>
      <c r="AD655" s="140"/>
      <c r="AE655" s="114"/>
      <c r="AF655" s="114"/>
      <c r="AG655" s="114"/>
    </row>
    <row r="656" spans="2:33" ht="12.75" customHeight="1" x14ac:dyDescent="0.2">
      <c r="B656" s="22"/>
      <c r="D656" s="114"/>
      <c r="E656" s="114"/>
      <c r="F656" s="147"/>
      <c r="G656" s="114"/>
      <c r="H656" s="147"/>
      <c r="I656" s="217"/>
      <c r="J656" s="212"/>
      <c r="K656" s="139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  <c r="AA656" s="114"/>
      <c r="AB656" s="140"/>
      <c r="AC656" s="114"/>
      <c r="AD656" s="140"/>
      <c r="AE656" s="114"/>
      <c r="AF656" s="114"/>
      <c r="AG656" s="114"/>
    </row>
    <row r="657" spans="2:33" ht="12.75" customHeight="1" thickBot="1" x14ac:dyDescent="0.25">
      <c r="B657" s="22"/>
      <c r="D657" s="114"/>
      <c r="E657" s="114"/>
      <c r="F657" s="146"/>
      <c r="G657" s="114"/>
      <c r="H657" s="147"/>
      <c r="I657" s="217"/>
      <c r="J657" s="213"/>
      <c r="K657" s="139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  <c r="AA657" s="114"/>
      <c r="AB657" s="114"/>
      <c r="AC657" s="114"/>
      <c r="AD657" s="114"/>
      <c r="AE657" s="140"/>
      <c r="AF657" s="140"/>
      <c r="AG657" s="140"/>
    </row>
    <row r="658" spans="2:33" ht="12.75" customHeight="1" x14ac:dyDescent="0.2">
      <c r="B658" s="5" t="s">
        <v>11</v>
      </c>
      <c r="D658" s="271" t="s">
        <v>767</v>
      </c>
      <c r="E658" s="272"/>
      <c r="F658" s="272"/>
      <c r="G658" s="272"/>
      <c r="H658" s="272"/>
      <c r="I658" s="272"/>
      <c r="J658" s="273"/>
      <c r="K658" s="173">
        <f>SUM(K598:K657)</f>
        <v>3</v>
      </c>
      <c r="L658" s="173">
        <f t="shared" ref="L658:AG658" si="80">SUM(L598:L657)</f>
        <v>0</v>
      </c>
      <c r="M658" s="173">
        <f t="shared" si="80"/>
        <v>3.787878787878788E-2</v>
      </c>
      <c r="N658" s="173">
        <f t="shared" si="80"/>
        <v>3.125E-2</v>
      </c>
      <c r="O658" s="173">
        <f t="shared" si="80"/>
        <v>0</v>
      </c>
      <c r="P658" s="173">
        <f t="shared" si="80"/>
        <v>12</v>
      </c>
      <c r="Q658" s="173">
        <f t="shared" si="80"/>
        <v>0</v>
      </c>
      <c r="R658" s="173">
        <f t="shared" si="80"/>
        <v>0</v>
      </c>
      <c r="S658" s="173">
        <f t="shared" si="80"/>
        <v>8</v>
      </c>
      <c r="T658" s="173">
        <f t="shared" si="80"/>
        <v>0</v>
      </c>
      <c r="U658" s="173">
        <f t="shared" si="80"/>
        <v>0</v>
      </c>
      <c r="V658" s="173">
        <f t="shared" si="80"/>
        <v>0</v>
      </c>
      <c r="W658" s="173">
        <f t="shared" si="80"/>
        <v>0</v>
      </c>
      <c r="X658" s="173">
        <f t="shared" si="80"/>
        <v>0</v>
      </c>
      <c r="Y658" s="173">
        <f t="shared" si="80"/>
        <v>0</v>
      </c>
      <c r="Z658" s="173">
        <f t="shared" si="80"/>
        <v>0</v>
      </c>
      <c r="AA658" s="173">
        <f t="shared" si="80"/>
        <v>5.0757575757575752</v>
      </c>
      <c r="AB658" s="173">
        <f t="shared" si="80"/>
        <v>3.5606060606060606E-2</v>
      </c>
      <c r="AC658" s="173">
        <f t="shared" si="80"/>
        <v>5.0757575757575752</v>
      </c>
      <c r="AD658" s="173">
        <f t="shared" si="80"/>
        <v>3.5606060606060606E-2</v>
      </c>
      <c r="AE658" s="173">
        <f t="shared" si="80"/>
        <v>3.709469696969697</v>
      </c>
      <c r="AF658" s="173">
        <f t="shared" si="80"/>
        <v>1.7803030303030303E-2</v>
      </c>
      <c r="AG658" s="173">
        <f t="shared" si="80"/>
        <v>3.709469696969697</v>
      </c>
    </row>
    <row r="659" spans="2:33" ht="12.75" customHeight="1" x14ac:dyDescent="0.2">
      <c r="D659" s="191" t="s">
        <v>701</v>
      </c>
      <c r="E659" s="192"/>
      <c r="F659" s="192"/>
      <c r="G659" s="192"/>
      <c r="H659" s="192"/>
      <c r="I659" s="214"/>
      <c r="J659" s="214"/>
      <c r="K659" s="193">
        <f>SUMIF(J607:J657, 1, K607:K657)</f>
        <v>0</v>
      </c>
      <c r="L659" s="193">
        <f t="shared" ref="L659:AG659" si="81">SUMIF($J607:$J657, 1, L607:L657)</f>
        <v>0</v>
      </c>
      <c r="M659" s="193">
        <f t="shared" si="81"/>
        <v>0</v>
      </c>
      <c r="N659" s="193">
        <f t="shared" si="81"/>
        <v>0</v>
      </c>
      <c r="O659" s="193">
        <f t="shared" si="81"/>
        <v>0</v>
      </c>
      <c r="P659" s="193">
        <f t="shared" si="81"/>
        <v>0</v>
      </c>
      <c r="Q659" s="193">
        <f t="shared" si="81"/>
        <v>0</v>
      </c>
      <c r="R659" s="193">
        <f t="shared" si="81"/>
        <v>0</v>
      </c>
      <c r="S659" s="193">
        <f t="shared" si="81"/>
        <v>0</v>
      </c>
      <c r="T659" s="193">
        <f t="shared" si="81"/>
        <v>0</v>
      </c>
      <c r="U659" s="193">
        <f t="shared" si="81"/>
        <v>0</v>
      </c>
      <c r="V659" s="193">
        <f t="shared" si="81"/>
        <v>0</v>
      </c>
      <c r="W659" s="193">
        <f t="shared" si="81"/>
        <v>0</v>
      </c>
      <c r="X659" s="193">
        <f t="shared" si="81"/>
        <v>0</v>
      </c>
      <c r="Y659" s="193">
        <f t="shared" si="81"/>
        <v>0</v>
      </c>
      <c r="Z659" s="193">
        <f t="shared" si="81"/>
        <v>0</v>
      </c>
      <c r="AA659" s="193">
        <f t="shared" si="81"/>
        <v>1.5484848484848484</v>
      </c>
      <c r="AB659" s="193">
        <f t="shared" si="81"/>
        <v>0</v>
      </c>
      <c r="AC659" s="193">
        <f t="shared" si="81"/>
        <v>1.5484848484848484</v>
      </c>
      <c r="AD659" s="193">
        <f t="shared" si="81"/>
        <v>0</v>
      </c>
      <c r="AE659" s="193">
        <f t="shared" si="81"/>
        <v>1.0278409090909091</v>
      </c>
      <c r="AF659" s="193">
        <f t="shared" si="81"/>
        <v>1.7803030303030303E-2</v>
      </c>
      <c r="AG659" s="193">
        <f t="shared" si="81"/>
        <v>1.0278409090909091</v>
      </c>
    </row>
    <row r="660" spans="2:33" ht="12.75" customHeight="1" x14ac:dyDescent="0.2">
      <c r="D660" s="191" t="s">
        <v>702</v>
      </c>
      <c r="E660" s="192"/>
      <c r="F660" s="192"/>
      <c r="G660" s="192"/>
      <c r="H660" s="192"/>
      <c r="I660" s="214"/>
      <c r="J660" s="214"/>
      <c r="K660" s="193">
        <f>SUMIF(J607:J657, 4, K607:K657)</f>
        <v>0</v>
      </c>
      <c r="L660" s="193">
        <f t="shared" ref="L660:AG660" si="82">SUMIF($J607:$J657, 4, L607:L657)</f>
        <v>0</v>
      </c>
      <c r="M660" s="193">
        <f t="shared" si="82"/>
        <v>0</v>
      </c>
      <c r="N660" s="193">
        <f t="shared" si="82"/>
        <v>0</v>
      </c>
      <c r="O660" s="193">
        <f t="shared" si="82"/>
        <v>0</v>
      </c>
      <c r="P660" s="193">
        <f t="shared" si="82"/>
        <v>0</v>
      </c>
      <c r="Q660" s="193">
        <f t="shared" si="82"/>
        <v>0</v>
      </c>
      <c r="R660" s="193">
        <f t="shared" si="82"/>
        <v>0</v>
      </c>
      <c r="S660" s="193">
        <f t="shared" si="82"/>
        <v>0</v>
      </c>
      <c r="T660" s="193">
        <f t="shared" si="82"/>
        <v>0</v>
      </c>
      <c r="U660" s="193">
        <f t="shared" si="82"/>
        <v>0</v>
      </c>
      <c r="V660" s="193">
        <f t="shared" si="82"/>
        <v>0</v>
      </c>
      <c r="W660" s="193">
        <f t="shared" si="82"/>
        <v>0</v>
      </c>
      <c r="X660" s="193">
        <f t="shared" si="82"/>
        <v>0</v>
      </c>
      <c r="Y660" s="193">
        <f t="shared" si="82"/>
        <v>0</v>
      </c>
      <c r="Z660" s="193">
        <f t="shared" si="82"/>
        <v>0</v>
      </c>
      <c r="AA660" s="193">
        <f t="shared" si="82"/>
        <v>3.5272727272727273</v>
      </c>
      <c r="AB660" s="193">
        <f t="shared" si="82"/>
        <v>0</v>
      </c>
      <c r="AC660" s="193">
        <f t="shared" si="82"/>
        <v>3.5272727272727273</v>
      </c>
      <c r="AD660" s="193">
        <f t="shared" si="82"/>
        <v>0</v>
      </c>
      <c r="AE660" s="193">
        <f t="shared" si="82"/>
        <v>2.6816287878787883</v>
      </c>
      <c r="AF660" s="193">
        <f t="shared" si="82"/>
        <v>0</v>
      </c>
      <c r="AG660" s="193">
        <f t="shared" si="82"/>
        <v>2.6816287878787883</v>
      </c>
    </row>
    <row r="661" spans="2:33" ht="12.75" customHeight="1" x14ac:dyDescent="0.2">
      <c r="D661" s="191" t="s">
        <v>703</v>
      </c>
      <c r="E661" s="192"/>
      <c r="F661" s="192"/>
      <c r="G661" s="192"/>
      <c r="H661" s="192"/>
      <c r="I661" s="214"/>
      <c r="J661" s="214"/>
      <c r="K661" s="193">
        <f>SUMIF(J607:J657, 6, K607:K657)</f>
        <v>0</v>
      </c>
      <c r="L661" s="193">
        <f t="shared" ref="L661:AG661" si="83">SUMIF($J607:$J657, 6, L607:L657)</f>
        <v>0</v>
      </c>
      <c r="M661" s="193">
        <f t="shared" si="83"/>
        <v>0</v>
      </c>
      <c r="N661" s="193">
        <f t="shared" si="83"/>
        <v>0</v>
      </c>
      <c r="O661" s="193">
        <f t="shared" si="83"/>
        <v>0</v>
      </c>
      <c r="P661" s="193">
        <f t="shared" si="83"/>
        <v>0</v>
      </c>
      <c r="Q661" s="193">
        <f t="shared" si="83"/>
        <v>0</v>
      </c>
      <c r="R661" s="193">
        <f t="shared" si="83"/>
        <v>0</v>
      </c>
      <c r="S661" s="193">
        <f t="shared" si="83"/>
        <v>0</v>
      </c>
      <c r="T661" s="193">
        <f t="shared" si="83"/>
        <v>0</v>
      </c>
      <c r="U661" s="193">
        <f t="shared" si="83"/>
        <v>0</v>
      </c>
      <c r="V661" s="193">
        <f t="shared" si="83"/>
        <v>0</v>
      </c>
      <c r="W661" s="193">
        <f t="shared" si="83"/>
        <v>0</v>
      </c>
      <c r="X661" s="193">
        <f t="shared" si="83"/>
        <v>0</v>
      </c>
      <c r="Y661" s="193">
        <f t="shared" si="83"/>
        <v>0</v>
      </c>
      <c r="Z661" s="193">
        <f t="shared" si="83"/>
        <v>0</v>
      </c>
      <c r="AA661" s="193">
        <f t="shared" si="83"/>
        <v>0</v>
      </c>
      <c r="AB661" s="193">
        <f t="shared" si="83"/>
        <v>3.5606060606060606E-2</v>
      </c>
      <c r="AC661" s="193">
        <f t="shared" si="83"/>
        <v>0</v>
      </c>
      <c r="AD661" s="193">
        <f t="shared" si="83"/>
        <v>3.5606060606060606E-2</v>
      </c>
      <c r="AE661" s="193">
        <f t="shared" si="83"/>
        <v>0</v>
      </c>
      <c r="AF661" s="193">
        <f t="shared" si="83"/>
        <v>0</v>
      </c>
      <c r="AG661" s="193">
        <f t="shared" si="83"/>
        <v>0</v>
      </c>
    </row>
  </sheetData>
  <mergeCells count="264">
    <mergeCell ref="AB420:AB431"/>
    <mergeCell ref="R420:R431"/>
    <mergeCell ref="R174:R185"/>
    <mergeCell ref="D88:AE88"/>
    <mergeCell ref="P503:P514"/>
    <mergeCell ref="R503:R514"/>
    <mergeCell ref="I502:I515"/>
    <mergeCell ref="S503:S514"/>
    <mergeCell ref="T503:T514"/>
    <mergeCell ref="U503:U514"/>
    <mergeCell ref="AC420:AC431"/>
    <mergeCell ref="AD420:AD431"/>
    <mergeCell ref="AE420:AE431"/>
    <mergeCell ref="AA92:AA103"/>
    <mergeCell ref="AB92:AB103"/>
    <mergeCell ref="AA174:AA185"/>
    <mergeCell ref="AB174:AB185"/>
    <mergeCell ref="W92:W103"/>
    <mergeCell ref="O92:O103"/>
    <mergeCell ref="P92:P103"/>
    <mergeCell ref="L503:L514"/>
    <mergeCell ref="M503:M514"/>
    <mergeCell ref="N503:N514"/>
    <mergeCell ref="O503:O514"/>
    <mergeCell ref="AE503:AE514"/>
    <mergeCell ref="W503:W514"/>
    <mergeCell ref="X503:X514"/>
    <mergeCell ref="Y503:Y514"/>
    <mergeCell ref="Z503:Z514"/>
    <mergeCell ref="AC503:AC514"/>
    <mergeCell ref="AD503:AD514"/>
    <mergeCell ref="Q503:Q514"/>
    <mergeCell ref="V503:V514"/>
    <mergeCell ref="AA503:AA514"/>
    <mergeCell ref="AB503:AB514"/>
    <mergeCell ref="B173:B186"/>
    <mergeCell ref="D173:D186"/>
    <mergeCell ref="E173:E186"/>
    <mergeCell ref="F173:H186"/>
    <mergeCell ref="U92:U103"/>
    <mergeCell ref="V92:V103"/>
    <mergeCell ref="I255:I268"/>
    <mergeCell ref="I173:I186"/>
    <mergeCell ref="K174:K185"/>
    <mergeCell ref="B255:B268"/>
    <mergeCell ref="D255:D268"/>
    <mergeCell ref="E255:E268"/>
    <mergeCell ref="F255:H268"/>
    <mergeCell ref="D165:J165"/>
    <mergeCell ref="D247:J247"/>
    <mergeCell ref="D252:AE252"/>
    <mergeCell ref="D253:H253"/>
    <mergeCell ref="D254:H254"/>
    <mergeCell ref="N256:N267"/>
    <mergeCell ref="O256:O267"/>
    <mergeCell ref="P256:P267"/>
    <mergeCell ref="AD256:AD267"/>
    <mergeCell ref="X92:X103"/>
    <mergeCell ref="Y92:Y103"/>
    <mergeCell ref="D417:H417"/>
    <mergeCell ref="U420:U431"/>
    <mergeCell ref="V420:V431"/>
    <mergeCell ref="S420:S431"/>
    <mergeCell ref="M420:M431"/>
    <mergeCell ref="N420:N431"/>
    <mergeCell ref="Y338:Y349"/>
    <mergeCell ref="Z338:Z349"/>
    <mergeCell ref="AA256:AA267"/>
    <mergeCell ref="J255:J268"/>
    <mergeCell ref="J337:J350"/>
    <mergeCell ref="J419:J432"/>
    <mergeCell ref="Y420:Y431"/>
    <mergeCell ref="Z420:Z431"/>
    <mergeCell ref="T420:T431"/>
    <mergeCell ref="O420:O431"/>
    <mergeCell ref="P420:P431"/>
    <mergeCell ref="Q420:Q431"/>
    <mergeCell ref="AA420:AA431"/>
    <mergeCell ref="K420:K431"/>
    <mergeCell ref="L420:L431"/>
    <mergeCell ref="L256:L267"/>
    <mergeCell ref="M256:M267"/>
    <mergeCell ref="K256:K267"/>
    <mergeCell ref="L338:L349"/>
    <mergeCell ref="P338:P349"/>
    <mergeCell ref="N338:N349"/>
    <mergeCell ref="M338:M349"/>
    <mergeCell ref="AD92:AD103"/>
    <mergeCell ref="AE256:AE267"/>
    <mergeCell ref="W256:W267"/>
    <mergeCell ref="X256:X267"/>
    <mergeCell ref="Y256:Y267"/>
    <mergeCell ref="Z256:Z267"/>
    <mergeCell ref="AC256:AC267"/>
    <mergeCell ref="AB256:AB267"/>
    <mergeCell ref="D334:AE334"/>
    <mergeCell ref="Q92:Q103"/>
    <mergeCell ref="R92:R103"/>
    <mergeCell ref="S92:S103"/>
    <mergeCell ref="N92:N103"/>
    <mergeCell ref="Q256:Q267"/>
    <mergeCell ref="R256:R267"/>
    <mergeCell ref="S256:S267"/>
    <mergeCell ref="T256:T267"/>
    <mergeCell ref="U256:U267"/>
    <mergeCell ref="V256:V267"/>
    <mergeCell ref="AE92:AE103"/>
    <mergeCell ref="Z92:Z103"/>
    <mergeCell ref="AC174:AC185"/>
    <mergeCell ref="AD174:AD185"/>
    <mergeCell ref="Q174:Q185"/>
    <mergeCell ref="S174:S185"/>
    <mergeCell ref="T174:T185"/>
    <mergeCell ref="U174:U185"/>
    <mergeCell ref="V174:V185"/>
    <mergeCell ref="D170:AE170"/>
    <mergeCell ref="D171:H171"/>
    <mergeCell ref="D172:H172"/>
    <mergeCell ref="AE174:AE185"/>
    <mergeCell ref="W174:W185"/>
    <mergeCell ref="X174:X185"/>
    <mergeCell ref="Y174:Y185"/>
    <mergeCell ref="Z174:Z185"/>
    <mergeCell ref="L174:L185"/>
    <mergeCell ref="M174:M185"/>
    <mergeCell ref="N174:N185"/>
    <mergeCell ref="O174:O185"/>
    <mergeCell ref="P174:P185"/>
    <mergeCell ref="J173:J186"/>
    <mergeCell ref="AC92:AC103"/>
    <mergeCell ref="AC11:AC22"/>
    <mergeCell ref="AD11:AD22"/>
    <mergeCell ref="AE11:AE22"/>
    <mergeCell ref="R11:R22"/>
    <mergeCell ref="P11:P22"/>
    <mergeCell ref="D7:AE7"/>
    <mergeCell ref="D8:H8"/>
    <mergeCell ref="D9:H9"/>
    <mergeCell ref="S11:S22"/>
    <mergeCell ref="T11:T22"/>
    <mergeCell ref="U11:U22"/>
    <mergeCell ref="V11:V22"/>
    <mergeCell ref="W11:W22"/>
    <mergeCell ref="M11:M22"/>
    <mergeCell ref="Q11:Q22"/>
    <mergeCell ref="N11:N22"/>
    <mergeCell ref="O11:O22"/>
    <mergeCell ref="AA11:AA22"/>
    <mergeCell ref="AB11:AB22"/>
    <mergeCell ref="D89:H89"/>
    <mergeCell ref="D90:H90"/>
    <mergeCell ref="X11:X22"/>
    <mergeCell ref="Y11:Y22"/>
    <mergeCell ref="B10:B23"/>
    <mergeCell ref="D10:D23"/>
    <mergeCell ref="E10:E23"/>
    <mergeCell ref="F10:H23"/>
    <mergeCell ref="I10:I23"/>
    <mergeCell ref="K11:K22"/>
    <mergeCell ref="L11:L22"/>
    <mergeCell ref="J10:J23"/>
    <mergeCell ref="D84:J84"/>
    <mergeCell ref="B91:B104"/>
    <mergeCell ref="D91:D104"/>
    <mergeCell ref="E91:E104"/>
    <mergeCell ref="F91:H104"/>
    <mergeCell ref="I91:I104"/>
    <mergeCell ref="K92:K103"/>
    <mergeCell ref="T92:T103"/>
    <mergeCell ref="L92:L103"/>
    <mergeCell ref="M92:M103"/>
    <mergeCell ref="J91:J104"/>
    <mergeCell ref="Z11:Z22"/>
    <mergeCell ref="K585:K596"/>
    <mergeCell ref="L585:L596"/>
    <mergeCell ref="M585:M596"/>
    <mergeCell ref="D583:H583"/>
    <mergeCell ref="D581:AE581"/>
    <mergeCell ref="D582:H582"/>
    <mergeCell ref="W585:W596"/>
    <mergeCell ref="X585:X596"/>
    <mergeCell ref="R585:R596"/>
    <mergeCell ref="AA585:AA596"/>
    <mergeCell ref="AB585:AB596"/>
    <mergeCell ref="Y585:Y596"/>
    <mergeCell ref="Z585:Z596"/>
    <mergeCell ref="AC585:AC596"/>
    <mergeCell ref="AD585:AD596"/>
    <mergeCell ref="AE585:AE596"/>
    <mergeCell ref="N585:N596"/>
    <mergeCell ref="O585:O596"/>
    <mergeCell ref="P585:P596"/>
    <mergeCell ref="Q585:Q596"/>
    <mergeCell ref="S585:S596"/>
    <mergeCell ref="T585:T596"/>
    <mergeCell ref="U585:U596"/>
    <mergeCell ref="V585:V596"/>
    <mergeCell ref="D329:J329"/>
    <mergeCell ref="D411:J411"/>
    <mergeCell ref="D494:J494"/>
    <mergeCell ref="D576:J576"/>
    <mergeCell ref="D416:AE416"/>
    <mergeCell ref="AC338:AC349"/>
    <mergeCell ref="AD338:AD349"/>
    <mergeCell ref="Q338:Q349"/>
    <mergeCell ref="R338:R349"/>
    <mergeCell ref="S338:S349"/>
    <mergeCell ref="T338:T349"/>
    <mergeCell ref="U338:U349"/>
    <mergeCell ref="AA338:AA349"/>
    <mergeCell ref="K503:K514"/>
    <mergeCell ref="D499:AE499"/>
    <mergeCell ref="D500:H500"/>
    <mergeCell ref="D501:H501"/>
    <mergeCell ref="W420:W431"/>
    <mergeCell ref="X420:X431"/>
    <mergeCell ref="D335:H335"/>
    <mergeCell ref="D336:H336"/>
    <mergeCell ref="AB338:AB349"/>
    <mergeCell ref="D418:H418"/>
    <mergeCell ref="D658:J658"/>
    <mergeCell ref="B584:B597"/>
    <mergeCell ref="D584:D597"/>
    <mergeCell ref="E584:E597"/>
    <mergeCell ref="F584:H597"/>
    <mergeCell ref="I584:I597"/>
    <mergeCell ref="B419:B432"/>
    <mergeCell ref="D419:D432"/>
    <mergeCell ref="E419:E432"/>
    <mergeCell ref="F419:H432"/>
    <mergeCell ref="B502:B515"/>
    <mergeCell ref="D502:D515"/>
    <mergeCell ref="E502:E515"/>
    <mergeCell ref="F502:H515"/>
    <mergeCell ref="J584:J597"/>
    <mergeCell ref="I419:I432"/>
    <mergeCell ref="J502:J515"/>
    <mergeCell ref="B337:B350"/>
    <mergeCell ref="D337:D350"/>
    <mergeCell ref="E337:E350"/>
    <mergeCell ref="F337:H350"/>
    <mergeCell ref="I337:I350"/>
    <mergeCell ref="K338:K349"/>
    <mergeCell ref="AE338:AE349"/>
    <mergeCell ref="W338:W349"/>
    <mergeCell ref="X338:X349"/>
    <mergeCell ref="V338:V349"/>
    <mergeCell ref="O338:O349"/>
    <mergeCell ref="AG11:AG22"/>
    <mergeCell ref="AG92:AG103"/>
    <mergeCell ref="AG174:AG185"/>
    <mergeCell ref="AG256:AG267"/>
    <mergeCell ref="AG338:AG349"/>
    <mergeCell ref="AG420:AG431"/>
    <mergeCell ref="AG503:AG514"/>
    <mergeCell ref="AG585:AG596"/>
    <mergeCell ref="AF11:AF22"/>
    <mergeCell ref="AF92:AF103"/>
    <mergeCell ref="AF174:AF185"/>
    <mergeCell ref="AF256:AF267"/>
    <mergeCell ref="AF338:AF349"/>
    <mergeCell ref="AF420:AF431"/>
    <mergeCell ref="AF503:AF514"/>
    <mergeCell ref="AF585:AF596"/>
  </mergeCells>
  <phoneticPr fontId="8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A8B-2225-486D-AD0F-C4FF39AA36BF}">
  <dimension ref="A1:AH731"/>
  <sheetViews>
    <sheetView topLeftCell="E424" zoomScaleNormal="100" workbookViewId="0">
      <selection activeCell="W351" sqref="W351"/>
    </sheetView>
  </sheetViews>
  <sheetFormatPr defaultColWidth="9.140625" defaultRowHeight="12.75" customHeight="1" x14ac:dyDescent="0.2"/>
  <cols>
    <col min="1" max="1" width="2.5703125" style="5" customWidth="1"/>
    <col min="2" max="2" width="9.140625" style="5"/>
    <col min="3" max="3" width="7.7109375" style="5" customWidth="1"/>
    <col min="4" max="5" width="8.7109375" style="5" customWidth="1"/>
    <col min="6" max="6" width="12.7109375" style="5" customWidth="1"/>
    <col min="7" max="7" width="3.7109375" style="5" customWidth="1"/>
    <col min="8" max="8" width="4.28515625" style="5" customWidth="1"/>
    <col min="9" max="9" width="12.7109375" style="5" customWidth="1"/>
    <col min="10" max="10" width="3.28515625" style="238" customWidth="1"/>
    <col min="11" max="11" width="9.7109375" style="6" customWidth="1"/>
    <col min="12" max="12" width="9.7109375" style="223" customWidth="1"/>
    <col min="13" max="13" width="2.85546875" style="5" customWidth="1"/>
    <col min="14" max="14" width="9.7109375" style="223" customWidth="1"/>
    <col min="15" max="32" width="9.28515625" style="5" customWidth="1"/>
    <col min="33" max="33" width="2.7109375" style="5" customWidth="1"/>
    <col min="34" max="16384" width="9.140625" style="5"/>
  </cols>
  <sheetData>
    <row r="1" spans="1:32" ht="12.75" customHeight="1" x14ac:dyDescent="0.2">
      <c r="A1" s="5">
        <v>1</v>
      </c>
      <c r="D1" s="2"/>
      <c r="E1" s="2"/>
      <c r="F1" s="3"/>
      <c r="G1" s="3" t="s">
        <v>6</v>
      </c>
      <c r="H1" s="3" t="s">
        <v>15</v>
      </c>
      <c r="I1" s="2" t="s">
        <v>14</v>
      </c>
      <c r="J1" s="236"/>
      <c r="K1" s="1"/>
      <c r="L1" s="221"/>
      <c r="M1" s="1"/>
      <c r="N1" s="221"/>
      <c r="O1" s="1"/>
      <c r="P1" s="18"/>
      <c r="Q1" s="18"/>
      <c r="R1" s="18"/>
      <c r="S1" s="16"/>
      <c r="T1" s="16"/>
      <c r="U1" s="16"/>
      <c r="V1" s="16"/>
      <c r="W1" s="16"/>
      <c r="X1" s="16"/>
      <c r="Y1" s="1"/>
      <c r="Z1" s="1"/>
      <c r="AA1" s="1"/>
      <c r="AB1" s="1"/>
      <c r="AC1" s="1"/>
      <c r="AD1" s="18"/>
      <c r="AE1" s="18"/>
      <c r="AF1" s="18"/>
    </row>
    <row r="2" spans="1:32" ht="12.75" customHeight="1" x14ac:dyDescent="0.2">
      <c r="D2" s="2"/>
      <c r="E2" s="2"/>
      <c r="F2" s="3"/>
      <c r="G2" s="3" t="s">
        <v>3</v>
      </c>
      <c r="H2" s="3" t="s">
        <v>16</v>
      </c>
      <c r="I2" s="2" t="s">
        <v>5</v>
      </c>
      <c r="J2" s="236"/>
      <c r="K2" s="1"/>
      <c r="L2" s="221"/>
      <c r="M2" s="1"/>
      <c r="N2" s="221"/>
      <c r="O2" s="1"/>
      <c r="P2" s="18"/>
      <c r="Q2" s="18"/>
      <c r="R2" s="18"/>
      <c r="S2" s="16"/>
      <c r="T2" s="16"/>
      <c r="U2" s="16"/>
      <c r="V2" s="16"/>
      <c r="W2" s="16"/>
      <c r="X2" s="16"/>
      <c r="Y2" s="1"/>
      <c r="Z2" s="1"/>
      <c r="AA2" s="1"/>
      <c r="AB2" s="1"/>
      <c r="AC2" s="1"/>
      <c r="AD2" s="18"/>
      <c r="AE2" s="18"/>
      <c r="AF2" s="18"/>
    </row>
    <row r="3" spans="1:32" ht="12.75" customHeight="1" x14ac:dyDescent="0.2">
      <c r="D3" s="2"/>
      <c r="E3" s="3"/>
      <c r="F3" s="3"/>
      <c r="G3" s="3"/>
      <c r="H3" s="3" t="s">
        <v>17</v>
      </c>
      <c r="I3" s="2" t="s">
        <v>4</v>
      </c>
      <c r="J3" s="236"/>
      <c r="K3" s="1"/>
      <c r="L3" s="221"/>
      <c r="M3" s="1"/>
      <c r="N3" s="221"/>
      <c r="O3" s="1"/>
      <c r="P3" s="18"/>
      <c r="Q3" s="18"/>
      <c r="R3" s="18"/>
      <c r="S3" s="2"/>
      <c r="T3" s="2"/>
      <c r="U3" s="2"/>
      <c r="V3" s="2"/>
      <c r="W3" s="2"/>
      <c r="X3" s="2"/>
      <c r="Y3" s="1"/>
      <c r="Z3" s="1"/>
      <c r="AA3" s="1"/>
      <c r="AB3" s="1"/>
      <c r="AC3" s="1"/>
      <c r="AD3" s="18"/>
      <c r="AE3" s="18"/>
      <c r="AF3" s="18"/>
    </row>
    <row r="4" spans="1:32" ht="12.75" customHeight="1" x14ac:dyDescent="0.2">
      <c r="D4" s="2"/>
      <c r="E4" s="3"/>
      <c r="F4" s="4"/>
      <c r="G4" s="4"/>
      <c r="H4" s="3" t="s">
        <v>18</v>
      </c>
      <c r="I4" s="2" t="s">
        <v>12</v>
      </c>
      <c r="J4" s="236"/>
      <c r="K4" s="1"/>
      <c r="L4" s="221"/>
      <c r="M4" s="1"/>
      <c r="N4" s="221"/>
      <c r="O4" s="1"/>
      <c r="P4" s="18"/>
      <c r="Q4" s="18"/>
      <c r="R4" s="18"/>
      <c r="S4" s="2"/>
      <c r="T4" s="2"/>
      <c r="U4" s="2"/>
      <c r="V4" s="2"/>
      <c r="W4" s="2"/>
      <c r="X4" s="2"/>
      <c r="Y4" s="1"/>
      <c r="Z4" s="1"/>
      <c r="AA4" s="1"/>
      <c r="AB4" s="1"/>
      <c r="AC4" s="1"/>
      <c r="AD4" s="18"/>
      <c r="AE4" s="18"/>
      <c r="AF4" s="18"/>
    </row>
    <row r="5" spans="1:32" ht="12.75" customHeight="1" x14ac:dyDescent="0.2">
      <c r="D5" s="2"/>
      <c r="E5" s="3"/>
      <c r="F5" s="4"/>
      <c r="G5" s="4"/>
      <c r="H5" s="3" t="s">
        <v>19</v>
      </c>
      <c r="I5" s="2" t="s">
        <v>13</v>
      </c>
      <c r="J5" s="237"/>
      <c r="K5" s="4"/>
      <c r="L5" s="222"/>
      <c r="M5" s="4"/>
      <c r="N5" s="222"/>
      <c r="O5" s="17"/>
      <c r="P5" s="18"/>
      <c r="Q5" s="18"/>
      <c r="R5" s="18"/>
      <c r="S5" s="4"/>
      <c r="T5" s="4"/>
      <c r="U5" s="4"/>
      <c r="V5" s="4"/>
      <c r="W5" s="4"/>
      <c r="X5" s="4"/>
      <c r="Y5" s="17"/>
      <c r="Z5" s="1"/>
      <c r="AA5" s="1"/>
      <c r="AB5" s="17"/>
      <c r="AC5" s="17"/>
      <c r="AD5" s="18"/>
      <c r="AE5" s="18"/>
      <c r="AF5" s="18"/>
    </row>
    <row r="6" spans="1:32" ht="12.75" customHeight="1" thickBot="1" x14ac:dyDescent="0.25"/>
    <row r="7" spans="1:32" ht="12.75" customHeight="1" thickBot="1" x14ac:dyDescent="0.25">
      <c r="B7" s="20" t="s">
        <v>9</v>
      </c>
      <c r="D7" s="295" t="str">
        <f>"SUBSUMMARY SHEET " &amp; B8</f>
        <v>SUBSUMMARY SHEET 1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</row>
    <row r="8" spans="1:32" ht="12.75" customHeight="1" thickBot="1" x14ac:dyDescent="0.25">
      <c r="B8" s="24">
        <v>1</v>
      </c>
      <c r="D8" s="309" t="s">
        <v>7</v>
      </c>
      <c r="E8" s="309"/>
      <c r="F8" s="309"/>
      <c r="G8" s="309"/>
      <c r="H8" s="309"/>
      <c r="I8" s="309"/>
      <c r="J8" s="309"/>
      <c r="K8" s="19"/>
      <c r="L8" s="224"/>
      <c r="M8" s="19"/>
      <c r="N8" s="224"/>
      <c r="O8" s="19" t="s">
        <v>28</v>
      </c>
      <c r="P8" s="19" t="s">
        <v>29</v>
      </c>
      <c r="Q8" s="19" t="s">
        <v>30</v>
      </c>
      <c r="R8" s="19" t="s">
        <v>31</v>
      </c>
      <c r="S8" s="19" t="s">
        <v>682</v>
      </c>
      <c r="T8" s="19" t="s">
        <v>687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ht="12.75" customHeight="1" thickBot="1" x14ac:dyDescent="0.25">
      <c r="D9" s="310" t="s">
        <v>8</v>
      </c>
      <c r="E9" s="310"/>
      <c r="F9" s="310"/>
      <c r="G9" s="310"/>
      <c r="H9" s="310"/>
      <c r="I9" s="310"/>
      <c r="J9" s="310"/>
      <c r="K9" s="75"/>
      <c r="L9" s="225"/>
      <c r="M9" s="75"/>
      <c r="N9" s="22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12.75" customHeight="1" x14ac:dyDescent="0.2">
      <c r="B10" s="318" t="s">
        <v>10</v>
      </c>
      <c r="D10" s="253" t="s">
        <v>20</v>
      </c>
      <c r="E10" s="253" t="s">
        <v>21</v>
      </c>
      <c r="F10" s="256" t="s">
        <v>0</v>
      </c>
      <c r="G10" s="257"/>
      <c r="H10" s="257"/>
      <c r="I10" s="257"/>
      <c r="J10" s="312"/>
      <c r="K10" s="300" t="s">
        <v>23</v>
      </c>
      <c r="L10" s="303" t="s">
        <v>568</v>
      </c>
      <c r="M10" s="304"/>
      <c r="N10" s="324" t="s">
        <v>704</v>
      </c>
      <c r="O10" s="145" t="str">
        <f>IF(OR(TRIM(O8)=0,TRIM(O8)=""),"",IF(IFERROR(TRIM(INDEX(QryItemNamed,MATCH(TRIM(O8),ITEM,0),2)),"")="Y","SPECIAL",LEFT(IFERROR(TRIM(INDEX(ITEM,MATCH(TRIM(O8),ITEM,0))),""),3)))</f>
        <v>630</v>
      </c>
      <c r="P10" s="145" t="str">
        <f>IF(OR(TRIM(P8)=0,TRIM(P8)=""),"",IF(IFERROR(TRIM(INDEX(QryItemNamed,MATCH(TRIM(P8),ITEM,0),2)),"")="Y","SPECIAL",LEFT(IFERROR(TRIM(INDEX(ITEM,MATCH(TRIM(P8),ITEM,0))),""),3)))</f>
        <v>630</v>
      </c>
      <c r="Q10" s="145" t="str">
        <f>IF(OR(TRIM(Q8)=0,TRIM(Q8)=""),"",IF(IFERROR(TRIM(INDEX(QryItemNamed,MATCH(TRIM(Q8),ITEM,0),2)),"")="Y","SPECIAL",LEFT(IFERROR(TRIM(INDEX(ITEM,MATCH(TRIM(Q8),ITEM,0))),""),3)))</f>
        <v>630</v>
      </c>
      <c r="R10" s="145" t="str">
        <f>IF(OR(TRIM(R8)=0,TRIM(R8)=""),"",IF(IFERROR(TRIM(INDEX(QryItemNamed,MATCH(TRIM(R8),ITEM,0),2)),"")="Y","SPECIAL",LEFT(IFERROR(TRIM(INDEX(ITEM,MATCH(TRIM(R8),ITEM,0))),""),3)))</f>
        <v>630</v>
      </c>
      <c r="S10" s="145">
        <v>630</v>
      </c>
      <c r="T10" s="145">
        <v>620</v>
      </c>
      <c r="U10" s="145">
        <v>630</v>
      </c>
      <c r="V10" s="145">
        <v>632</v>
      </c>
      <c r="W10" s="145">
        <v>630</v>
      </c>
      <c r="X10" s="145">
        <v>630</v>
      </c>
      <c r="Y10" s="145"/>
      <c r="Z10" s="145"/>
      <c r="AA10" s="145"/>
      <c r="AB10" s="145"/>
      <c r="AC10" s="145"/>
      <c r="AD10" s="145" t="str">
        <f t="shared" ref="AD10:AF10" si="0">IF(OR(TRIM(AD8)=0,TRIM(AD8)=""),"",IF(IFERROR(TRIM(INDEX(QryItemNamed,MATCH(TRIM(AD8),ITEM,0),2)),"")="Y","SPECIAL",LEFT(IFERROR(TRIM(INDEX(ITEM,MATCH(TRIM(AD8),ITEM,0))),""),3)))</f>
        <v/>
      </c>
      <c r="AE10" s="145" t="str">
        <f t="shared" si="0"/>
        <v/>
      </c>
      <c r="AF10" s="145" t="str">
        <f t="shared" si="0"/>
        <v/>
      </c>
    </row>
    <row r="11" spans="1:32" ht="12.75" customHeight="1" x14ac:dyDescent="0.2">
      <c r="B11" s="319"/>
      <c r="D11" s="254"/>
      <c r="E11" s="254"/>
      <c r="F11" s="258"/>
      <c r="G11" s="259"/>
      <c r="H11" s="259"/>
      <c r="I11" s="259"/>
      <c r="J11" s="313"/>
      <c r="K11" s="301"/>
      <c r="L11" s="305"/>
      <c r="M11" s="306"/>
      <c r="N11" s="325"/>
      <c r="O11" s="244" t="str">
        <f t="shared" ref="O11:R11" si="1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GROUND MOUNTED SUPPORT, NO. 3 POST</v>
      </c>
      <c r="P11" s="244" t="str">
        <f t="shared" si="1"/>
        <v>SIGN, FLAT SHEET</v>
      </c>
      <c r="Q11" s="244" t="str">
        <f t="shared" si="1"/>
        <v>REMOVAL OF GROUND MOUNTED SIGN AND DISPOSAL</v>
      </c>
      <c r="R11" s="244" t="str">
        <f t="shared" si="1"/>
        <v>REMOVAL OF GROUND MOUNTED POST SUPPORT AND DISPOSAL</v>
      </c>
      <c r="S11" s="244" t="str">
        <f t="shared" ref="S11" si="2">IF(OR(TRIM(S8)=0,TRIM(S8)=""),IF(S9="","",S9),IF(IFERROR(TRIM(INDEX(QryItemNamed,MATCH(TRIM(S8),ITEM,0),2)),"")="Y",TRIM(RIGHT(IFERROR(TRIM(INDEX(QryItemNamed,MATCH(TRIM(S8),ITEM,0),4)),"123456789012"),LEN(IFERROR(TRIM(INDEX(QryItemNamed,MATCH(TRIM(S8),ITEM,0),4)),"123456789012"))-9))&amp;S9,IFERROR(TRIM(INDEX(QryItemNamed,MATCH(TRIM(S8),ITEM,0),4))&amp;S9,"ITEM CODE DOES NOT EXIST IN ITEM MASTER")))</f>
        <v>SIGN SUPPORT ASSEMBLY, POLE MOUNTED</v>
      </c>
      <c r="T11" s="244" t="s">
        <v>697</v>
      </c>
      <c r="U11" s="278" t="s">
        <v>690</v>
      </c>
      <c r="V11" s="278" t="s">
        <v>691</v>
      </c>
      <c r="W11" s="278" t="s">
        <v>768</v>
      </c>
      <c r="X11" s="278" t="s">
        <v>710</v>
      </c>
      <c r="Y11" s="278"/>
      <c r="Z11" s="278"/>
      <c r="AA11" s="290"/>
      <c r="AB11" s="268"/>
      <c r="AC11" s="290"/>
      <c r="AD11" s="278" t="str">
        <f t="shared" ref="AD11:AF11" si="3">IF(OR(TRIM(AD8)=0,TRIM(AD8)=""),IF(AD9="","",AD9),IF(IFERROR(TRIM(INDEX(QryItemNamed,MATCH(TRIM(AD8),ITEM,0),2)),"")="Y",TRIM(RIGHT(IFERROR(TRIM(INDEX(QryItemNamed,MATCH(TRIM(AD8),ITEM,0),4)),"123456789012"),LEN(IFERROR(TRIM(INDEX(QryItemNamed,MATCH(TRIM(AD8),ITEM,0),4)),"123456789012"))-9))&amp;AD9,IFERROR(TRIM(INDEX(QryItemNamed,MATCH(TRIM(AD8),ITEM,0),4))&amp;AD9,"ITEM CODE DOES NOT EXIST IN ITEM MASTER")))</f>
        <v/>
      </c>
      <c r="AE11" s="278" t="str">
        <f t="shared" si="3"/>
        <v/>
      </c>
      <c r="AF11" s="278" t="str">
        <f t="shared" si="3"/>
        <v/>
      </c>
    </row>
    <row r="12" spans="1:32" ht="12.75" customHeight="1" x14ac:dyDescent="0.2">
      <c r="B12" s="319"/>
      <c r="D12" s="254"/>
      <c r="E12" s="254"/>
      <c r="F12" s="258"/>
      <c r="G12" s="259"/>
      <c r="H12" s="259"/>
      <c r="I12" s="259"/>
      <c r="J12" s="313"/>
      <c r="K12" s="301"/>
      <c r="L12" s="305"/>
      <c r="M12" s="306"/>
      <c r="N12" s="325"/>
      <c r="O12" s="245"/>
      <c r="P12" s="245"/>
      <c r="Q12" s="245"/>
      <c r="R12" s="245"/>
      <c r="S12" s="245"/>
      <c r="T12" s="245"/>
      <c r="U12" s="278"/>
      <c r="V12" s="278"/>
      <c r="W12" s="278"/>
      <c r="X12" s="278"/>
      <c r="Y12" s="278"/>
      <c r="Z12" s="278"/>
      <c r="AA12" s="290"/>
      <c r="AB12" s="269"/>
      <c r="AC12" s="290"/>
      <c r="AD12" s="278"/>
      <c r="AE12" s="278"/>
      <c r="AF12" s="278"/>
    </row>
    <row r="13" spans="1:32" ht="12.75" customHeight="1" x14ac:dyDescent="0.2">
      <c r="B13" s="319"/>
      <c r="D13" s="254"/>
      <c r="E13" s="254"/>
      <c r="F13" s="258"/>
      <c r="G13" s="259"/>
      <c r="H13" s="259"/>
      <c r="I13" s="259"/>
      <c r="J13" s="313"/>
      <c r="K13" s="301"/>
      <c r="L13" s="305"/>
      <c r="M13" s="306"/>
      <c r="N13" s="325"/>
      <c r="O13" s="245"/>
      <c r="P13" s="245"/>
      <c r="Q13" s="245"/>
      <c r="R13" s="245"/>
      <c r="S13" s="245"/>
      <c r="T13" s="245"/>
      <c r="U13" s="278"/>
      <c r="V13" s="278"/>
      <c r="W13" s="278"/>
      <c r="X13" s="278"/>
      <c r="Y13" s="278"/>
      <c r="Z13" s="278"/>
      <c r="AA13" s="290"/>
      <c r="AB13" s="269"/>
      <c r="AC13" s="290"/>
      <c r="AD13" s="278"/>
      <c r="AE13" s="278"/>
      <c r="AF13" s="278"/>
    </row>
    <row r="14" spans="1:32" ht="12.75" customHeight="1" x14ac:dyDescent="0.2">
      <c r="B14" s="319"/>
      <c r="D14" s="254"/>
      <c r="E14" s="254"/>
      <c r="F14" s="258"/>
      <c r="G14" s="259"/>
      <c r="H14" s="259"/>
      <c r="I14" s="259"/>
      <c r="J14" s="313"/>
      <c r="K14" s="301"/>
      <c r="L14" s="305"/>
      <c r="M14" s="306"/>
      <c r="N14" s="325"/>
      <c r="O14" s="245"/>
      <c r="P14" s="245"/>
      <c r="Q14" s="245"/>
      <c r="R14" s="245"/>
      <c r="S14" s="245"/>
      <c r="T14" s="245"/>
      <c r="U14" s="278"/>
      <c r="V14" s="278"/>
      <c r="W14" s="278"/>
      <c r="X14" s="278"/>
      <c r="Y14" s="278"/>
      <c r="Z14" s="278"/>
      <c r="AA14" s="290"/>
      <c r="AB14" s="269"/>
      <c r="AC14" s="290"/>
      <c r="AD14" s="278"/>
      <c r="AE14" s="278"/>
      <c r="AF14" s="278"/>
    </row>
    <row r="15" spans="1:32" ht="12.75" customHeight="1" x14ac:dyDescent="0.2">
      <c r="B15" s="319"/>
      <c r="D15" s="254"/>
      <c r="E15" s="254"/>
      <c r="F15" s="258"/>
      <c r="G15" s="259"/>
      <c r="H15" s="259"/>
      <c r="I15" s="259"/>
      <c r="J15" s="313"/>
      <c r="K15" s="301"/>
      <c r="L15" s="305"/>
      <c r="M15" s="306"/>
      <c r="N15" s="325"/>
      <c r="O15" s="245"/>
      <c r="P15" s="245"/>
      <c r="Q15" s="245"/>
      <c r="R15" s="245"/>
      <c r="S15" s="245"/>
      <c r="T15" s="245"/>
      <c r="U15" s="278"/>
      <c r="V15" s="278"/>
      <c r="W15" s="278"/>
      <c r="X15" s="278"/>
      <c r="Y15" s="278"/>
      <c r="Z15" s="278"/>
      <c r="AA15" s="290"/>
      <c r="AB15" s="269"/>
      <c r="AC15" s="290"/>
      <c r="AD15" s="278"/>
      <c r="AE15" s="278"/>
      <c r="AF15" s="278"/>
    </row>
    <row r="16" spans="1:32" ht="12.75" customHeight="1" x14ac:dyDescent="0.2">
      <c r="B16" s="319"/>
      <c r="D16" s="254"/>
      <c r="E16" s="254"/>
      <c r="F16" s="258"/>
      <c r="G16" s="259"/>
      <c r="H16" s="259"/>
      <c r="I16" s="259"/>
      <c r="J16" s="313"/>
      <c r="K16" s="301"/>
      <c r="L16" s="305"/>
      <c r="M16" s="306"/>
      <c r="N16" s="325"/>
      <c r="O16" s="245"/>
      <c r="P16" s="245"/>
      <c r="Q16" s="245"/>
      <c r="R16" s="245"/>
      <c r="S16" s="245"/>
      <c r="T16" s="245"/>
      <c r="U16" s="278"/>
      <c r="V16" s="278"/>
      <c r="W16" s="278"/>
      <c r="X16" s="278"/>
      <c r="Y16" s="278"/>
      <c r="Z16" s="278"/>
      <c r="AA16" s="290"/>
      <c r="AB16" s="269"/>
      <c r="AC16" s="290"/>
      <c r="AD16" s="278"/>
      <c r="AE16" s="278"/>
      <c r="AF16" s="278"/>
    </row>
    <row r="17" spans="2:32" ht="12.75" customHeight="1" x14ac:dyDescent="0.2">
      <c r="B17" s="319"/>
      <c r="D17" s="254"/>
      <c r="E17" s="254"/>
      <c r="F17" s="258"/>
      <c r="G17" s="259"/>
      <c r="H17" s="259"/>
      <c r="I17" s="259"/>
      <c r="J17" s="313"/>
      <c r="K17" s="301"/>
      <c r="L17" s="305"/>
      <c r="M17" s="306"/>
      <c r="N17" s="325"/>
      <c r="O17" s="245"/>
      <c r="P17" s="245"/>
      <c r="Q17" s="245"/>
      <c r="R17" s="245"/>
      <c r="S17" s="245"/>
      <c r="T17" s="245"/>
      <c r="U17" s="278"/>
      <c r="V17" s="278"/>
      <c r="W17" s="278"/>
      <c r="X17" s="278"/>
      <c r="Y17" s="278"/>
      <c r="Z17" s="278"/>
      <c r="AA17" s="290"/>
      <c r="AB17" s="269"/>
      <c r="AC17" s="290"/>
      <c r="AD17" s="278"/>
      <c r="AE17" s="278"/>
      <c r="AF17" s="278"/>
    </row>
    <row r="18" spans="2:32" ht="12.75" customHeight="1" x14ac:dyDescent="0.2">
      <c r="B18" s="319"/>
      <c r="D18" s="254"/>
      <c r="E18" s="254"/>
      <c r="F18" s="258"/>
      <c r="G18" s="259"/>
      <c r="H18" s="259"/>
      <c r="I18" s="259"/>
      <c r="J18" s="313"/>
      <c r="K18" s="301"/>
      <c r="L18" s="305"/>
      <c r="M18" s="306"/>
      <c r="N18" s="325"/>
      <c r="O18" s="245"/>
      <c r="P18" s="245"/>
      <c r="Q18" s="245"/>
      <c r="R18" s="245"/>
      <c r="S18" s="245"/>
      <c r="T18" s="245"/>
      <c r="U18" s="278"/>
      <c r="V18" s="278"/>
      <c r="W18" s="278"/>
      <c r="X18" s="278"/>
      <c r="Y18" s="278"/>
      <c r="Z18" s="278"/>
      <c r="AA18" s="290"/>
      <c r="AB18" s="269"/>
      <c r="AC18" s="290"/>
      <c r="AD18" s="278"/>
      <c r="AE18" s="278"/>
      <c r="AF18" s="278"/>
    </row>
    <row r="19" spans="2:32" ht="12.75" customHeight="1" x14ac:dyDescent="0.2">
      <c r="B19" s="319"/>
      <c r="D19" s="254"/>
      <c r="E19" s="254"/>
      <c r="F19" s="258"/>
      <c r="G19" s="259"/>
      <c r="H19" s="259"/>
      <c r="I19" s="259"/>
      <c r="J19" s="313"/>
      <c r="K19" s="301"/>
      <c r="L19" s="305"/>
      <c r="M19" s="306"/>
      <c r="N19" s="325"/>
      <c r="O19" s="245"/>
      <c r="P19" s="245"/>
      <c r="Q19" s="245"/>
      <c r="R19" s="245"/>
      <c r="S19" s="245"/>
      <c r="T19" s="245"/>
      <c r="U19" s="278"/>
      <c r="V19" s="278"/>
      <c r="W19" s="278"/>
      <c r="X19" s="278"/>
      <c r="Y19" s="278"/>
      <c r="Z19" s="278"/>
      <c r="AA19" s="290"/>
      <c r="AB19" s="269"/>
      <c r="AC19" s="290"/>
      <c r="AD19" s="278"/>
      <c r="AE19" s="278"/>
      <c r="AF19" s="278"/>
    </row>
    <row r="20" spans="2:32" ht="12.75" customHeight="1" x14ac:dyDescent="0.2">
      <c r="B20" s="319"/>
      <c r="D20" s="254"/>
      <c r="E20" s="254"/>
      <c r="F20" s="258"/>
      <c r="G20" s="259"/>
      <c r="H20" s="259"/>
      <c r="I20" s="259"/>
      <c r="J20" s="313"/>
      <c r="K20" s="301"/>
      <c r="L20" s="305"/>
      <c r="M20" s="306"/>
      <c r="N20" s="325"/>
      <c r="O20" s="245"/>
      <c r="P20" s="245"/>
      <c r="Q20" s="245"/>
      <c r="R20" s="245"/>
      <c r="S20" s="245"/>
      <c r="T20" s="245"/>
      <c r="U20" s="278"/>
      <c r="V20" s="278"/>
      <c r="W20" s="278"/>
      <c r="X20" s="278"/>
      <c r="Y20" s="278"/>
      <c r="Z20" s="278"/>
      <c r="AA20" s="290"/>
      <c r="AB20" s="269"/>
      <c r="AC20" s="290"/>
      <c r="AD20" s="278"/>
      <c r="AE20" s="278"/>
      <c r="AF20" s="278"/>
    </row>
    <row r="21" spans="2:32" ht="12.75" customHeight="1" x14ac:dyDescent="0.2">
      <c r="B21" s="319"/>
      <c r="D21" s="254"/>
      <c r="E21" s="254"/>
      <c r="F21" s="258"/>
      <c r="G21" s="259"/>
      <c r="H21" s="259"/>
      <c r="I21" s="259"/>
      <c r="J21" s="313"/>
      <c r="K21" s="301"/>
      <c r="L21" s="305"/>
      <c r="M21" s="306"/>
      <c r="N21" s="325"/>
      <c r="O21" s="245"/>
      <c r="P21" s="245"/>
      <c r="Q21" s="245"/>
      <c r="R21" s="245"/>
      <c r="S21" s="245"/>
      <c r="T21" s="245"/>
      <c r="U21" s="278"/>
      <c r="V21" s="278"/>
      <c r="W21" s="278"/>
      <c r="X21" s="278"/>
      <c r="Y21" s="278"/>
      <c r="Z21" s="278"/>
      <c r="AA21" s="290"/>
      <c r="AB21" s="269"/>
      <c r="AC21" s="290"/>
      <c r="AD21" s="278"/>
      <c r="AE21" s="278"/>
      <c r="AF21" s="278"/>
    </row>
    <row r="22" spans="2:32" ht="12.75" customHeight="1" x14ac:dyDescent="0.2">
      <c r="B22" s="319"/>
      <c r="D22" s="254"/>
      <c r="E22" s="254"/>
      <c r="F22" s="258"/>
      <c r="G22" s="259"/>
      <c r="H22" s="259"/>
      <c r="I22" s="259"/>
      <c r="J22" s="313"/>
      <c r="K22" s="301"/>
      <c r="L22" s="305"/>
      <c r="M22" s="306"/>
      <c r="N22" s="325"/>
      <c r="O22" s="246"/>
      <c r="P22" s="246"/>
      <c r="Q22" s="246"/>
      <c r="R22" s="246"/>
      <c r="S22" s="246"/>
      <c r="T22" s="246"/>
      <c r="U22" s="278"/>
      <c r="V22" s="278"/>
      <c r="W22" s="278"/>
      <c r="X22" s="278"/>
      <c r="Y22" s="278"/>
      <c r="Z22" s="278"/>
      <c r="AA22" s="290"/>
      <c r="AB22" s="270"/>
      <c r="AC22" s="290"/>
      <c r="AD22" s="278"/>
      <c r="AE22" s="278"/>
      <c r="AF22" s="278"/>
    </row>
    <row r="23" spans="2:32" ht="12.75" customHeight="1" thickBot="1" x14ac:dyDescent="0.25">
      <c r="B23" s="320"/>
      <c r="D23" s="255"/>
      <c r="E23" s="255"/>
      <c r="F23" s="260"/>
      <c r="G23" s="261"/>
      <c r="H23" s="261"/>
      <c r="I23" s="261"/>
      <c r="J23" s="314"/>
      <c r="K23" s="302"/>
      <c r="L23" s="307"/>
      <c r="M23" s="308"/>
      <c r="N23" s="326"/>
      <c r="O23" s="102" t="str">
        <f t="shared" ref="O23:AB23" si="4">IF(OR(TRIM(O8)=0,TRIM(O8)=""),"",IFERROR(TRIM(INDEX(QryItemNamed,MATCH(TRIM(O8),ITEM,0),3)),""))</f>
        <v>FT</v>
      </c>
      <c r="P23" s="102" t="str">
        <f t="shared" si="4"/>
        <v>SF</v>
      </c>
      <c r="Q23" s="102" t="str">
        <f t="shared" si="4"/>
        <v>EACH</v>
      </c>
      <c r="R23" s="102" t="str">
        <f t="shared" si="4"/>
        <v>EACH</v>
      </c>
      <c r="S23" s="102" t="str">
        <f t="shared" si="4"/>
        <v>EACH</v>
      </c>
      <c r="T23" s="102" t="str">
        <f t="shared" si="4"/>
        <v>EACH</v>
      </c>
      <c r="U23" s="102" t="s">
        <v>51</v>
      </c>
      <c r="V23" s="102" t="s">
        <v>51</v>
      </c>
      <c r="W23" s="102" t="s">
        <v>51</v>
      </c>
      <c r="X23" s="102" t="s">
        <v>51</v>
      </c>
      <c r="Y23" s="102"/>
      <c r="Z23" s="102" t="str">
        <f t="shared" si="4"/>
        <v/>
      </c>
      <c r="AA23" s="102" t="str">
        <f t="shared" si="4"/>
        <v/>
      </c>
      <c r="AB23" s="102" t="str">
        <f t="shared" si="4"/>
        <v/>
      </c>
      <c r="AC23" s="102" t="str">
        <f>IF(OR(TRIM(AC8)=0,TRIM(AC8)=""),"",IFERROR(TRIM(INDEX(QryItemNamed,MATCH(TRIM(AC8),ITEM,0),3)),""))</f>
        <v/>
      </c>
      <c r="AD23" s="102" t="str">
        <f>IF(OR(TRIM(AD8)=0,TRIM(AD8)=""),"",IFERROR(TRIM(INDEX(QryItemNamed,MATCH(TRIM(AD8),ITEM,0),3)),""))</f>
        <v/>
      </c>
      <c r="AE23" s="102" t="str">
        <f>IF(OR(TRIM(AE8)=0,TRIM(AE8)=""),"",IFERROR(TRIM(INDEX(QryItemNamed,MATCH(TRIM(AE8),ITEM,0),3)),""))</f>
        <v/>
      </c>
      <c r="AF23" s="102" t="str">
        <f>IF(OR(TRIM(AF8)=0,TRIM(AF8)=""),"",IFERROR(TRIM(INDEX(QryItemNamed,MATCH(TRIM(AF8),ITEM,0),3)),""))</f>
        <v/>
      </c>
    </row>
    <row r="24" spans="2:32" ht="12.75" customHeight="1" x14ac:dyDescent="0.2">
      <c r="B24" s="21">
        <v>1</v>
      </c>
      <c r="C24" s="5">
        <f>884+18</f>
        <v>902</v>
      </c>
      <c r="D24" s="114" t="s">
        <v>401</v>
      </c>
      <c r="E24" s="114" t="s">
        <v>724</v>
      </c>
      <c r="F24" s="315">
        <v>59950</v>
      </c>
      <c r="G24" s="315"/>
      <c r="H24" s="139"/>
      <c r="I24" s="285"/>
      <c r="J24" s="286"/>
      <c r="K24" s="231"/>
      <c r="L24" s="321"/>
      <c r="M24" s="322"/>
      <c r="N24" s="211"/>
      <c r="O24" s="139"/>
      <c r="P24" s="114"/>
      <c r="Q24" s="114">
        <v>1</v>
      </c>
      <c r="R24" s="114">
        <v>1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</row>
    <row r="25" spans="2:32" ht="12.75" customHeight="1" x14ac:dyDescent="0.2">
      <c r="B25" s="21">
        <v>1</v>
      </c>
      <c r="D25" s="114" t="s">
        <v>402</v>
      </c>
      <c r="E25" s="114" t="s">
        <v>724</v>
      </c>
      <c r="F25" s="285">
        <v>59950</v>
      </c>
      <c r="G25" s="286"/>
      <c r="H25" s="114"/>
      <c r="I25" s="285"/>
      <c r="J25" s="286"/>
      <c r="K25" s="232" t="s">
        <v>25</v>
      </c>
      <c r="L25" s="285" t="s">
        <v>98</v>
      </c>
      <c r="M25" s="323"/>
      <c r="N25" s="212">
        <v>4</v>
      </c>
      <c r="O25" s="149">
        <f>3.5+7+3</f>
        <v>13.5</v>
      </c>
      <c r="P25" s="114">
        <f>(3*3)</f>
        <v>9</v>
      </c>
      <c r="Q25" s="114"/>
      <c r="R25" s="114"/>
      <c r="S25" s="114"/>
      <c r="T25" s="114"/>
      <c r="U25" s="114"/>
      <c r="V25" s="114"/>
      <c r="W25" s="114"/>
      <c r="X25" s="114">
        <v>1</v>
      </c>
      <c r="Y25" s="114"/>
      <c r="Z25" s="114"/>
      <c r="AA25" s="114"/>
      <c r="AB25" s="114"/>
      <c r="AC25" s="114"/>
      <c r="AD25" s="114"/>
      <c r="AE25" s="114"/>
      <c r="AF25" s="114"/>
    </row>
    <row r="26" spans="2:32" ht="12.75" customHeight="1" x14ac:dyDescent="0.2">
      <c r="B26" s="21">
        <v>1</v>
      </c>
      <c r="D26" s="114" t="s">
        <v>404</v>
      </c>
      <c r="E26" s="114" t="s">
        <v>724</v>
      </c>
      <c r="F26" s="285">
        <v>59944</v>
      </c>
      <c r="G26" s="286"/>
      <c r="H26" s="114"/>
      <c r="I26" s="285"/>
      <c r="J26" s="286"/>
      <c r="K26" s="232" t="s">
        <v>25</v>
      </c>
      <c r="L26" s="285" t="s">
        <v>99</v>
      </c>
      <c r="M26" s="323"/>
      <c r="N26" s="212">
        <v>4</v>
      </c>
      <c r="O26" s="149">
        <f>3.5+7+2.5</f>
        <v>13</v>
      </c>
      <c r="P26" s="114">
        <f>2*2.5</f>
        <v>5</v>
      </c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</row>
    <row r="27" spans="2:32" ht="12.75" customHeight="1" x14ac:dyDescent="0.2">
      <c r="B27" s="21">
        <v>1</v>
      </c>
      <c r="D27" s="114" t="s">
        <v>403</v>
      </c>
      <c r="E27" s="114" t="s">
        <v>724</v>
      </c>
      <c r="F27" s="315">
        <v>59983</v>
      </c>
      <c r="G27" s="315"/>
      <c r="H27" s="139"/>
      <c r="I27" s="285"/>
      <c r="J27" s="286"/>
      <c r="K27" s="232" t="s">
        <v>25</v>
      </c>
      <c r="L27" s="285" t="s">
        <v>101</v>
      </c>
      <c r="M27" s="323"/>
      <c r="N27" s="212">
        <v>4</v>
      </c>
      <c r="O27" s="149">
        <f>3.5+7+4.5+1</f>
        <v>16</v>
      </c>
      <c r="P27" s="150">
        <f>3*3</f>
        <v>9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</row>
    <row r="28" spans="2:32" ht="12.75" customHeight="1" x14ac:dyDescent="0.2">
      <c r="B28" s="21">
        <v>1</v>
      </c>
      <c r="D28" s="114"/>
      <c r="E28" s="114" t="s">
        <v>724</v>
      </c>
      <c r="F28" s="315">
        <v>59983</v>
      </c>
      <c r="G28" s="315"/>
      <c r="H28" s="139"/>
      <c r="I28" s="285"/>
      <c r="J28" s="286"/>
      <c r="K28" s="232" t="s">
        <v>25</v>
      </c>
      <c r="L28" s="285" t="s">
        <v>100</v>
      </c>
      <c r="M28" s="323"/>
      <c r="N28" s="212">
        <v>4</v>
      </c>
      <c r="O28" s="149"/>
      <c r="P28" s="114">
        <f>2*1</f>
        <v>2</v>
      </c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</row>
    <row r="29" spans="2:32" ht="12.75" customHeight="1" x14ac:dyDescent="0.2">
      <c r="B29" s="21"/>
      <c r="D29" s="114"/>
      <c r="E29" s="114"/>
      <c r="F29" s="285"/>
      <c r="G29" s="286"/>
      <c r="H29" s="139"/>
      <c r="I29" s="147"/>
      <c r="J29" s="148"/>
      <c r="K29" s="232"/>
      <c r="L29" s="147"/>
      <c r="M29" s="151"/>
      <c r="N29" s="212"/>
      <c r="O29" s="149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</row>
    <row r="30" spans="2:32" ht="12.75" customHeight="1" x14ac:dyDescent="0.2">
      <c r="B30" s="21">
        <v>1</v>
      </c>
      <c r="D30" s="114" t="s">
        <v>405</v>
      </c>
      <c r="E30" s="114" t="s">
        <v>725</v>
      </c>
      <c r="F30" s="315">
        <v>60291</v>
      </c>
      <c r="G30" s="315"/>
      <c r="H30" s="139"/>
      <c r="I30" s="285"/>
      <c r="J30" s="286"/>
      <c r="K30" s="232" t="s">
        <v>25</v>
      </c>
      <c r="L30" s="285" t="s">
        <v>102</v>
      </c>
      <c r="M30" s="323"/>
      <c r="N30" s="212">
        <v>4</v>
      </c>
      <c r="O30" s="149">
        <f>3.5+7+2.5</f>
        <v>13</v>
      </c>
      <c r="P30" s="114">
        <f>2.5*2.5</f>
        <v>6.25</v>
      </c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</row>
    <row r="31" spans="2:32" ht="12.75" customHeight="1" x14ac:dyDescent="0.2">
      <c r="B31" s="21">
        <v>1</v>
      </c>
      <c r="D31" s="114" t="s">
        <v>406</v>
      </c>
      <c r="E31" s="114" t="s">
        <v>725</v>
      </c>
      <c r="F31" s="315">
        <v>60291</v>
      </c>
      <c r="G31" s="315"/>
      <c r="H31" s="139"/>
      <c r="I31" s="285"/>
      <c r="J31" s="286"/>
      <c r="K31" s="232" t="s">
        <v>25</v>
      </c>
      <c r="L31" s="285"/>
      <c r="M31" s="323"/>
      <c r="N31" s="212">
        <v>4</v>
      </c>
      <c r="O31" s="149"/>
      <c r="P31" s="114"/>
      <c r="Q31" s="114">
        <v>1</v>
      </c>
      <c r="R31" s="114">
        <v>1</v>
      </c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</row>
    <row r="32" spans="2:32" ht="12.75" customHeight="1" x14ac:dyDescent="0.2">
      <c r="B32" s="21">
        <v>1</v>
      </c>
      <c r="D32" s="114" t="s">
        <v>407</v>
      </c>
      <c r="E32" s="114" t="s">
        <v>725</v>
      </c>
      <c r="F32" s="315">
        <v>60403</v>
      </c>
      <c r="G32" s="315"/>
      <c r="H32" s="139"/>
      <c r="I32" s="285"/>
      <c r="J32" s="286"/>
      <c r="K32" s="232" t="s">
        <v>25</v>
      </c>
      <c r="L32" s="285" t="s">
        <v>103</v>
      </c>
      <c r="M32" s="323"/>
      <c r="N32" s="212">
        <v>4</v>
      </c>
      <c r="O32" s="149">
        <f>3.5+7+4.5</f>
        <v>15</v>
      </c>
      <c r="P32" s="114">
        <f>3*3</f>
        <v>9</v>
      </c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</row>
    <row r="33" spans="2:32" ht="12.75" customHeight="1" x14ac:dyDescent="0.2">
      <c r="B33" s="21">
        <v>1</v>
      </c>
      <c r="D33" s="114" t="s">
        <v>408</v>
      </c>
      <c r="E33" s="114" t="s">
        <v>725</v>
      </c>
      <c r="F33" s="315">
        <v>60403</v>
      </c>
      <c r="G33" s="315"/>
      <c r="H33" s="139"/>
      <c r="I33" s="285"/>
      <c r="J33" s="286"/>
      <c r="K33" s="232" t="s">
        <v>25</v>
      </c>
      <c r="L33" s="285"/>
      <c r="M33" s="323"/>
      <c r="N33" s="212">
        <v>4</v>
      </c>
      <c r="O33" s="149"/>
      <c r="P33" s="114"/>
      <c r="Q33" s="114">
        <v>1</v>
      </c>
      <c r="R33" s="114">
        <v>1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</row>
    <row r="34" spans="2:32" ht="12.75" customHeight="1" x14ac:dyDescent="0.2">
      <c r="B34" s="21">
        <v>1</v>
      </c>
      <c r="D34" s="114" t="s">
        <v>409</v>
      </c>
      <c r="E34" s="114" t="s">
        <v>725</v>
      </c>
      <c r="F34" s="315"/>
      <c r="G34" s="315"/>
      <c r="H34" s="139"/>
      <c r="I34" s="285"/>
      <c r="J34" s="286"/>
      <c r="K34" s="232" t="s">
        <v>25</v>
      </c>
      <c r="L34" s="285"/>
      <c r="M34" s="323"/>
      <c r="N34" s="212">
        <v>4</v>
      </c>
      <c r="O34" s="149"/>
      <c r="P34" s="114"/>
      <c r="Q34" s="114">
        <v>1</v>
      </c>
      <c r="R34" s="114">
        <v>1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</row>
    <row r="35" spans="2:32" ht="12.75" customHeight="1" x14ac:dyDescent="0.2">
      <c r="B35" s="21">
        <v>1</v>
      </c>
      <c r="D35" s="114" t="s">
        <v>410</v>
      </c>
      <c r="E35" s="114" t="s">
        <v>725</v>
      </c>
      <c r="F35" s="315">
        <v>60718</v>
      </c>
      <c r="G35" s="315"/>
      <c r="H35" s="139"/>
      <c r="I35" s="285"/>
      <c r="J35" s="286"/>
      <c r="K35" s="232" t="s">
        <v>25</v>
      </c>
      <c r="L35" s="285" t="s">
        <v>104</v>
      </c>
      <c r="M35" s="323"/>
      <c r="N35" s="212">
        <v>4</v>
      </c>
      <c r="O35" s="149">
        <f>3.5+7+2</f>
        <v>12.5</v>
      </c>
      <c r="P35" s="114">
        <f>2*2</f>
        <v>4</v>
      </c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</row>
    <row r="36" spans="2:32" ht="12.75" customHeight="1" x14ac:dyDescent="0.2">
      <c r="B36" s="21">
        <v>1</v>
      </c>
      <c r="D36" s="114" t="s">
        <v>411</v>
      </c>
      <c r="E36" s="114" t="s">
        <v>725</v>
      </c>
      <c r="F36" s="315">
        <v>60733</v>
      </c>
      <c r="G36" s="315"/>
      <c r="H36" s="139"/>
      <c r="I36" s="285"/>
      <c r="J36" s="286"/>
      <c r="K36" s="232" t="s">
        <v>25</v>
      </c>
      <c r="L36" s="285" t="s">
        <v>101</v>
      </c>
      <c r="M36" s="323"/>
      <c r="N36" s="212">
        <v>4</v>
      </c>
      <c r="O36" s="149">
        <f>3.5+7+4.5+1</f>
        <v>16</v>
      </c>
      <c r="P36" s="114">
        <f>3*3</f>
        <v>9</v>
      </c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</row>
    <row r="37" spans="2:32" ht="12.75" customHeight="1" x14ac:dyDescent="0.2">
      <c r="B37" s="21">
        <v>1</v>
      </c>
      <c r="D37" s="114"/>
      <c r="E37" s="114" t="s">
        <v>725</v>
      </c>
      <c r="F37" s="315">
        <v>60733</v>
      </c>
      <c r="G37" s="315"/>
      <c r="H37" s="139"/>
      <c r="I37" s="285"/>
      <c r="J37" s="286"/>
      <c r="K37" s="232" t="s">
        <v>25</v>
      </c>
      <c r="L37" s="285" t="s">
        <v>100</v>
      </c>
      <c r="M37" s="323"/>
      <c r="N37" s="212">
        <v>4</v>
      </c>
      <c r="O37" s="149"/>
      <c r="P37" s="114">
        <f>2*1</f>
        <v>2</v>
      </c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</row>
    <row r="38" spans="2:32" ht="12.75" customHeight="1" x14ac:dyDescent="0.2">
      <c r="B38" s="21"/>
      <c r="D38" s="114"/>
      <c r="E38" s="114"/>
      <c r="F38" s="285"/>
      <c r="G38" s="286"/>
      <c r="H38" s="139"/>
      <c r="I38" s="147"/>
      <c r="J38" s="148"/>
      <c r="K38" s="232"/>
      <c r="L38" s="147"/>
      <c r="M38" s="151"/>
      <c r="N38" s="212"/>
      <c r="O38" s="149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</row>
    <row r="39" spans="2:32" ht="12.75" customHeight="1" x14ac:dyDescent="0.2">
      <c r="B39" s="21">
        <v>1</v>
      </c>
      <c r="D39" s="114" t="s">
        <v>412</v>
      </c>
      <c r="E39" s="114" t="s">
        <v>726</v>
      </c>
      <c r="F39" s="315">
        <v>61064</v>
      </c>
      <c r="G39" s="315"/>
      <c r="H39" s="139"/>
      <c r="I39" s="285"/>
      <c r="J39" s="286"/>
      <c r="K39" s="232" t="s">
        <v>25</v>
      </c>
      <c r="L39" s="285" t="s">
        <v>102</v>
      </c>
      <c r="M39" s="323"/>
      <c r="N39" s="212">
        <v>4</v>
      </c>
      <c r="O39" s="149">
        <f>3.5+7+2.5</f>
        <v>13</v>
      </c>
      <c r="P39" s="114">
        <f>2.5*2.5</f>
        <v>6.25</v>
      </c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</row>
    <row r="40" spans="2:32" ht="12.75" customHeight="1" x14ac:dyDescent="0.2">
      <c r="B40" s="21">
        <v>1</v>
      </c>
      <c r="D40" s="114" t="s">
        <v>413</v>
      </c>
      <c r="E40" s="114" t="s">
        <v>726</v>
      </c>
      <c r="F40" s="315"/>
      <c r="G40" s="315"/>
      <c r="H40" s="139"/>
      <c r="I40" s="285"/>
      <c r="J40" s="286"/>
      <c r="K40" s="232" t="s">
        <v>25</v>
      </c>
      <c r="L40" s="285"/>
      <c r="M40" s="323"/>
      <c r="N40" s="212">
        <v>4</v>
      </c>
      <c r="O40" s="149"/>
      <c r="P40" s="114"/>
      <c r="Q40" s="114">
        <v>1</v>
      </c>
      <c r="R40" s="114">
        <v>1</v>
      </c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</row>
    <row r="41" spans="2:32" ht="12.75" customHeight="1" x14ac:dyDescent="0.2">
      <c r="B41" s="21"/>
      <c r="D41" s="114"/>
      <c r="E41" s="114"/>
      <c r="F41" s="285"/>
      <c r="G41" s="286"/>
      <c r="H41" s="139"/>
      <c r="I41" s="147"/>
      <c r="J41" s="148"/>
      <c r="K41" s="232"/>
      <c r="L41" s="147"/>
      <c r="M41" s="151"/>
      <c r="N41" s="212"/>
      <c r="O41" s="149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</row>
    <row r="42" spans="2:32" ht="12.75" customHeight="1" x14ac:dyDescent="0.2">
      <c r="B42" s="21">
        <v>1</v>
      </c>
      <c r="D42" s="114" t="s">
        <v>414</v>
      </c>
      <c r="E42" s="114" t="s">
        <v>727</v>
      </c>
      <c r="F42" s="315">
        <v>61693</v>
      </c>
      <c r="G42" s="315"/>
      <c r="H42" s="139"/>
      <c r="I42" s="285"/>
      <c r="J42" s="286"/>
      <c r="K42" s="232" t="s">
        <v>25</v>
      </c>
      <c r="L42" s="285" t="s">
        <v>98</v>
      </c>
      <c r="M42" s="323"/>
      <c r="N42" s="212">
        <v>4</v>
      </c>
      <c r="O42" s="149">
        <f>3.5+7+3</f>
        <v>13.5</v>
      </c>
      <c r="P42" s="114">
        <f>(3*3)</f>
        <v>9</v>
      </c>
      <c r="Q42" s="114"/>
      <c r="R42" s="114"/>
      <c r="S42" s="114"/>
      <c r="T42" s="114"/>
      <c r="U42" s="114"/>
      <c r="V42" s="114"/>
      <c r="W42" s="114"/>
      <c r="X42" s="114">
        <v>1</v>
      </c>
      <c r="Y42" s="114"/>
      <c r="Z42" s="114"/>
      <c r="AA42" s="114"/>
      <c r="AB42" s="114"/>
      <c r="AC42" s="114"/>
      <c r="AD42" s="114"/>
      <c r="AE42" s="114"/>
      <c r="AF42" s="114"/>
    </row>
    <row r="43" spans="2:32" ht="12.75" customHeight="1" x14ac:dyDescent="0.2">
      <c r="B43" s="21">
        <v>1</v>
      </c>
      <c r="D43" s="114" t="s">
        <v>416</v>
      </c>
      <c r="E43" s="114" t="s">
        <v>727</v>
      </c>
      <c r="F43" s="315"/>
      <c r="G43" s="315"/>
      <c r="H43" s="139"/>
      <c r="I43" s="285"/>
      <c r="J43" s="286"/>
      <c r="K43" s="232" t="s">
        <v>25</v>
      </c>
      <c r="L43" s="285"/>
      <c r="M43" s="323"/>
      <c r="N43" s="212">
        <v>4</v>
      </c>
      <c r="O43" s="149"/>
      <c r="P43" s="114"/>
      <c r="Q43" s="114">
        <v>1</v>
      </c>
      <c r="R43" s="114">
        <v>1</v>
      </c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</row>
    <row r="44" spans="2:32" ht="12.75" customHeight="1" x14ac:dyDescent="0.2">
      <c r="B44" s="21">
        <v>1</v>
      </c>
      <c r="D44" s="114" t="s">
        <v>415</v>
      </c>
      <c r="E44" s="114" t="s">
        <v>727</v>
      </c>
      <c r="F44" s="315">
        <v>61737</v>
      </c>
      <c r="G44" s="315"/>
      <c r="H44" s="139"/>
      <c r="I44" s="285"/>
      <c r="J44" s="286"/>
      <c r="K44" s="232" t="s">
        <v>25</v>
      </c>
      <c r="L44" s="285" t="s">
        <v>99</v>
      </c>
      <c r="M44" s="323"/>
      <c r="N44" s="212">
        <v>4</v>
      </c>
      <c r="O44" s="149">
        <f>3.5+7+2.5</f>
        <v>13</v>
      </c>
      <c r="P44" s="114">
        <f>2*2.5</f>
        <v>5</v>
      </c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</row>
    <row r="45" spans="2:32" ht="12.75" customHeight="1" x14ac:dyDescent="0.2">
      <c r="B45" s="21">
        <v>1</v>
      </c>
      <c r="D45" s="114" t="s">
        <v>417</v>
      </c>
      <c r="E45" s="114" t="s">
        <v>727</v>
      </c>
      <c r="F45" s="315">
        <v>61737</v>
      </c>
      <c r="G45" s="315"/>
      <c r="H45" s="139"/>
      <c r="I45" s="285"/>
      <c r="J45" s="286"/>
      <c r="K45" s="232" t="s">
        <v>25</v>
      </c>
      <c r="L45" s="285"/>
      <c r="M45" s="323"/>
      <c r="N45" s="212">
        <v>4</v>
      </c>
      <c r="O45" s="149"/>
      <c r="P45" s="114"/>
      <c r="Q45" s="114">
        <v>1</v>
      </c>
      <c r="R45" s="114">
        <v>1</v>
      </c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</row>
    <row r="46" spans="2:32" ht="12.75" customHeight="1" x14ac:dyDescent="0.2">
      <c r="B46" s="21"/>
      <c r="D46" s="114"/>
      <c r="E46" s="114"/>
      <c r="F46" s="285"/>
      <c r="G46" s="286"/>
      <c r="H46" s="139"/>
      <c r="I46" s="147"/>
      <c r="J46" s="148"/>
      <c r="K46" s="232"/>
      <c r="L46" s="147"/>
      <c r="M46" s="151"/>
      <c r="N46" s="212"/>
      <c r="O46" s="149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</row>
    <row r="47" spans="2:32" ht="12.75" customHeight="1" x14ac:dyDescent="0.2">
      <c r="B47" s="21">
        <v>1</v>
      </c>
      <c r="D47" s="114" t="s">
        <v>418</v>
      </c>
      <c r="E47" s="114" t="s">
        <v>728</v>
      </c>
      <c r="F47" s="315">
        <v>61785</v>
      </c>
      <c r="G47" s="315"/>
      <c r="H47" s="139"/>
      <c r="I47" s="285"/>
      <c r="J47" s="286"/>
      <c r="K47" s="232" t="s">
        <v>25</v>
      </c>
      <c r="L47" s="285" t="s">
        <v>101</v>
      </c>
      <c r="M47" s="323"/>
      <c r="N47" s="212">
        <v>4</v>
      </c>
      <c r="O47" s="149">
        <f>3.5+7+4.5+1</f>
        <v>16</v>
      </c>
      <c r="P47" s="152">
        <f>3*3</f>
        <v>9</v>
      </c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</row>
    <row r="48" spans="2:32" ht="12.75" customHeight="1" x14ac:dyDescent="0.2">
      <c r="B48" s="21">
        <v>1</v>
      </c>
      <c r="D48" s="114"/>
      <c r="E48" s="114" t="s">
        <v>728</v>
      </c>
      <c r="F48" s="315">
        <v>61785</v>
      </c>
      <c r="G48" s="315"/>
      <c r="H48" s="139"/>
      <c r="I48" s="285"/>
      <c r="J48" s="286"/>
      <c r="K48" s="232" t="s">
        <v>25</v>
      </c>
      <c r="L48" s="285" t="s">
        <v>100</v>
      </c>
      <c r="M48" s="323"/>
      <c r="N48" s="212">
        <v>4</v>
      </c>
      <c r="O48" s="149"/>
      <c r="P48" s="114">
        <f>2*1</f>
        <v>2</v>
      </c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</row>
    <row r="49" spans="2:32" ht="12.75" customHeight="1" x14ac:dyDescent="0.2">
      <c r="B49" s="21">
        <v>1</v>
      </c>
      <c r="D49" s="114" t="s">
        <v>419</v>
      </c>
      <c r="E49" s="114" t="s">
        <v>728</v>
      </c>
      <c r="F49" s="315">
        <v>62107</v>
      </c>
      <c r="G49" s="315"/>
      <c r="H49" s="139"/>
      <c r="I49" s="285"/>
      <c r="J49" s="286"/>
      <c r="K49" s="232" t="s">
        <v>25</v>
      </c>
      <c r="L49" s="285" t="s">
        <v>102</v>
      </c>
      <c r="M49" s="323"/>
      <c r="N49" s="212">
        <v>4</v>
      </c>
      <c r="O49" s="149">
        <f>3.5+7+2.5</f>
        <v>13</v>
      </c>
      <c r="P49" s="114">
        <f>2.5*2.5</f>
        <v>6.25</v>
      </c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</row>
    <row r="50" spans="2:32" ht="12.75" customHeight="1" x14ac:dyDescent="0.2">
      <c r="B50" s="21">
        <v>1</v>
      </c>
      <c r="D50" s="114" t="s">
        <v>420</v>
      </c>
      <c r="E50" s="114" t="s">
        <v>728</v>
      </c>
      <c r="F50" s="315"/>
      <c r="G50" s="315"/>
      <c r="H50" s="139"/>
      <c r="I50" s="285"/>
      <c r="J50" s="286"/>
      <c r="K50" s="232" t="s">
        <v>25</v>
      </c>
      <c r="L50" s="285"/>
      <c r="M50" s="323"/>
      <c r="N50" s="212">
        <v>4</v>
      </c>
      <c r="O50" s="149"/>
      <c r="P50" s="114"/>
      <c r="Q50" s="114">
        <v>1</v>
      </c>
      <c r="R50" s="114">
        <v>1</v>
      </c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</row>
    <row r="51" spans="2:32" ht="12.75" customHeight="1" x14ac:dyDescent="0.2">
      <c r="B51" s="21"/>
      <c r="D51" s="114"/>
      <c r="E51" s="114"/>
      <c r="F51" s="285"/>
      <c r="G51" s="286"/>
      <c r="H51" s="114"/>
      <c r="I51" s="330"/>
      <c r="J51" s="331"/>
      <c r="K51" s="232"/>
      <c r="L51" s="285"/>
      <c r="M51" s="323"/>
      <c r="N51" s="212"/>
      <c r="O51" s="154"/>
      <c r="P51" s="155"/>
      <c r="Q51" s="155"/>
      <c r="R51" s="155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</row>
    <row r="52" spans="2:32" ht="12.75" customHeight="1" x14ac:dyDescent="0.2">
      <c r="B52" s="21">
        <v>1</v>
      </c>
      <c r="C52" s="5">
        <f>894+18</f>
        <v>912</v>
      </c>
      <c r="D52" s="114" t="s">
        <v>422</v>
      </c>
      <c r="E52" s="114" t="s">
        <v>734</v>
      </c>
      <c r="F52" s="315">
        <v>64896</v>
      </c>
      <c r="G52" s="315"/>
      <c r="H52" s="139"/>
      <c r="I52" s="329"/>
      <c r="J52" s="329"/>
      <c r="K52" s="232" t="s">
        <v>24</v>
      </c>
      <c r="L52" s="329" t="s">
        <v>98</v>
      </c>
      <c r="M52" s="336"/>
      <c r="N52" s="212">
        <v>4</v>
      </c>
      <c r="O52" s="149"/>
      <c r="P52" s="114"/>
      <c r="Q52" s="114">
        <v>1</v>
      </c>
      <c r="R52" s="114">
        <v>1</v>
      </c>
      <c r="S52" s="114"/>
      <c r="T52" s="114"/>
      <c r="U52" s="114"/>
      <c r="V52" s="114"/>
      <c r="W52" s="114"/>
      <c r="X52" s="114">
        <v>1</v>
      </c>
      <c r="Y52" s="114"/>
      <c r="Z52" s="114"/>
      <c r="AA52" s="114"/>
      <c r="AB52" s="114"/>
      <c r="AC52" s="114"/>
      <c r="AD52" s="114"/>
      <c r="AE52" s="114"/>
      <c r="AF52" s="114"/>
    </row>
    <row r="53" spans="2:32" ht="12.75" customHeight="1" x14ac:dyDescent="0.2">
      <c r="B53" s="21"/>
      <c r="D53" s="114"/>
      <c r="E53" s="114"/>
      <c r="F53" s="285"/>
      <c r="G53" s="286"/>
      <c r="H53" s="139"/>
      <c r="I53" s="156"/>
      <c r="J53" s="164"/>
      <c r="K53" s="232"/>
      <c r="L53" s="156"/>
      <c r="M53" s="157"/>
      <c r="N53" s="212"/>
      <c r="O53" s="149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</row>
    <row r="54" spans="2:32" ht="12.75" customHeight="1" x14ac:dyDescent="0.2">
      <c r="B54" s="21">
        <v>1</v>
      </c>
      <c r="C54" s="5">
        <f>896+18</f>
        <v>914</v>
      </c>
      <c r="D54" s="114" t="s">
        <v>423</v>
      </c>
      <c r="E54" s="114" t="s">
        <v>736</v>
      </c>
      <c r="F54" s="315">
        <v>65890</v>
      </c>
      <c r="G54" s="315"/>
      <c r="H54" s="114"/>
      <c r="I54" s="287"/>
      <c r="J54" s="289"/>
      <c r="K54" s="232" t="s">
        <v>24</v>
      </c>
      <c r="L54" s="287" t="s">
        <v>105</v>
      </c>
      <c r="M54" s="335"/>
      <c r="N54" s="212">
        <v>1</v>
      </c>
      <c r="O54" s="149">
        <f>3.5+7+1</f>
        <v>11.5</v>
      </c>
      <c r="P54" s="114">
        <f>1*1</f>
        <v>1</v>
      </c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</row>
    <row r="55" spans="2:32" ht="12.75" customHeight="1" x14ac:dyDescent="0.2">
      <c r="B55" s="21">
        <v>1</v>
      </c>
      <c r="D55" s="114" t="s">
        <v>427</v>
      </c>
      <c r="E55" s="114" t="s">
        <v>736</v>
      </c>
      <c r="F55" s="315">
        <v>65890</v>
      </c>
      <c r="G55" s="315"/>
      <c r="H55" s="114"/>
      <c r="I55" s="287"/>
      <c r="J55" s="289"/>
      <c r="K55" s="232" t="s">
        <v>24</v>
      </c>
      <c r="L55" s="287"/>
      <c r="M55" s="335"/>
      <c r="N55" s="212">
        <v>1</v>
      </c>
      <c r="O55" s="149"/>
      <c r="P55" s="114"/>
      <c r="Q55" s="114">
        <v>1</v>
      </c>
      <c r="R55" s="114">
        <v>1</v>
      </c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</row>
    <row r="56" spans="2:32" ht="12.75" customHeight="1" x14ac:dyDescent="0.2">
      <c r="B56" s="21">
        <v>1</v>
      </c>
      <c r="D56" s="155" t="s">
        <v>424</v>
      </c>
      <c r="E56" s="114" t="s">
        <v>736</v>
      </c>
      <c r="F56" s="327">
        <v>65982</v>
      </c>
      <c r="G56" s="328"/>
      <c r="H56" s="155"/>
      <c r="I56" s="287"/>
      <c r="J56" s="289"/>
      <c r="K56" s="233" t="s">
        <v>25</v>
      </c>
      <c r="L56" s="287" t="s">
        <v>105</v>
      </c>
      <c r="M56" s="335"/>
      <c r="N56" s="216">
        <v>1</v>
      </c>
      <c r="O56" s="149">
        <f>3.5+7+1</f>
        <v>11.5</v>
      </c>
      <c r="P56" s="114">
        <f>1*1</f>
        <v>1</v>
      </c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</row>
    <row r="57" spans="2:32" ht="12.75" customHeight="1" x14ac:dyDescent="0.2">
      <c r="B57" s="21">
        <v>1</v>
      </c>
      <c r="D57" s="114" t="s">
        <v>425</v>
      </c>
      <c r="E57" s="114" t="s">
        <v>736</v>
      </c>
      <c r="F57" s="285">
        <v>66012</v>
      </c>
      <c r="G57" s="286"/>
      <c r="H57" s="114"/>
      <c r="I57" s="287"/>
      <c r="J57" s="289"/>
      <c r="K57" s="232" t="s">
        <v>24</v>
      </c>
      <c r="L57" s="287" t="s">
        <v>106</v>
      </c>
      <c r="M57" s="335"/>
      <c r="N57" s="212">
        <v>1</v>
      </c>
      <c r="O57" s="149">
        <f>3.5+7+4.5</f>
        <v>15</v>
      </c>
      <c r="P57" s="150">
        <f>3*3</f>
        <v>9</v>
      </c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</row>
    <row r="58" spans="2:32" ht="12.75" customHeight="1" x14ac:dyDescent="0.2">
      <c r="B58" s="21">
        <v>1</v>
      </c>
      <c r="D58" s="114" t="s">
        <v>426</v>
      </c>
      <c r="E58" s="114" t="s">
        <v>736</v>
      </c>
      <c r="F58" s="285">
        <v>66137</v>
      </c>
      <c r="G58" s="286"/>
      <c r="H58" s="114"/>
      <c r="I58" s="287"/>
      <c r="J58" s="289"/>
      <c r="K58" s="232" t="s">
        <v>24</v>
      </c>
      <c r="L58" s="287" t="s">
        <v>107</v>
      </c>
      <c r="M58" s="335"/>
      <c r="N58" s="212">
        <v>1</v>
      </c>
      <c r="O58" s="149">
        <f>3.5+7+2</f>
        <v>12.5</v>
      </c>
      <c r="P58" s="114">
        <f>1.5*2</f>
        <v>3</v>
      </c>
      <c r="Q58" s="114"/>
      <c r="R58" s="114"/>
      <c r="S58" s="114"/>
      <c r="T58" s="114"/>
      <c r="U58" s="114"/>
      <c r="V58" s="114"/>
      <c r="W58" s="114"/>
      <c r="X58" s="114">
        <v>1</v>
      </c>
      <c r="Y58" s="114"/>
      <c r="Z58" s="114"/>
      <c r="AA58" s="114"/>
      <c r="AB58" s="114"/>
      <c r="AC58" s="114"/>
      <c r="AD58" s="114"/>
      <c r="AE58" s="114"/>
      <c r="AF58" s="114"/>
    </row>
    <row r="59" spans="2:32" ht="12.75" customHeight="1" x14ac:dyDescent="0.2">
      <c r="B59" s="21">
        <v>1</v>
      </c>
      <c r="D59" s="114"/>
      <c r="E59" s="114" t="s">
        <v>736</v>
      </c>
      <c r="F59" s="285">
        <v>66137</v>
      </c>
      <c r="G59" s="286"/>
      <c r="H59" s="114"/>
      <c r="I59" s="287"/>
      <c r="J59" s="289"/>
      <c r="K59" s="232" t="s">
        <v>24</v>
      </c>
      <c r="L59" s="287" t="s">
        <v>108</v>
      </c>
      <c r="M59" s="335"/>
      <c r="N59" s="212">
        <v>1</v>
      </c>
      <c r="O59" s="149"/>
      <c r="P59" s="114">
        <f>1.5*2</f>
        <v>3</v>
      </c>
      <c r="Q59" s="114"/>
      <c r="R59" s="114"/>
      <c r="S59" s="114"/>
      <c r="T59" s="114"/>
      <c r="U59" s="114"/>
      <c r="V59" s="114"/>
      <c r="W59" s="114"/>
      <c r="X59" s="114">
        <v>1</v>
      </c>
      <c r="Y59" s="114"/>
      <c r="Z59" s="114"/>
      <c r="AA59" s="114"/>
      <c r="AB59" s="114"/>
      <c r="AC59" s="114"/>
      <c r="AD59" s="114"/>
      <c r="AE59" s="114"/>
      <c r="AF59" s="114"/>
    </row>
    <row r="60" spans="2:32" ht="12.75" customHeight="1" x14ac:dyDescent="0.2">
      <c r="B60" s="21"/>
      <c r="D60" s="114"/>
      <c r="E60" s="114"/>
      <c r="F60" s="147"/>
      <c r="G60" s="148"/>
      <c r="H60" s="114"/>
      <c r="I60" s="156"/>
      <c r="J60" s="164"/>
      <c r="K60" s="232"/>
      <c r="L60" s="156"/>
      <c r="M60" s="157"/>
      <c r="N60" s="212"/>
      <c r="O60" s="149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</row>
    <row r="61" spans="2:32" ht="12.75" customHeight="1" x14ac:dyDescent="0.2">
      <c r="B61" s="21">
        <v>1</v>
      </c>
      <c r="C61" s="5">
        <f>897+18</f>
        <v>915</v>
      </c>
      <c r="D61" s="114" t="s">
        <v>428</v>
      </c>
      <c r="E61" s="114" t="s">
        <v>737</v>
      </c>
      <c r="F61" s="285">
        <v>66162</v>
      </c>
      <c r="G61" s="286"/>
      <c r="H61" s="114"/>
      <c r="I61" s="287"/>
      <c r="J61" s="289"/>
      <c r="K61" s="232" t="s">
        <v>25</v>
      </c>
      <c r="L61" s="287" t="s">
        <v>109</v>
      </c>
      <c r="M61" s="335"/>
      <c r="N61" s="212">
        <v>1</v>
      </c>
      <c r="O61" s="149">
        <f>3.5+7+2.5</f>
        <v>13</v>
      </c>
      <c r="P61" s="114">
        <f>2*2.5</f>
        <v>5</v>
      </c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</row>
    <row r="62" spans="2:32" ht="12.75" customHeight="1" x14ac:dyDescent="0.2">
      <c r="B62" s="21">
        <v>1</v>
      </c>
      <c r="D62" s="114" t="s">
        <v>429</v>
      </c>
      <c r="E62" s="114" t="s">
        <v>737</v>
      </c>
      <c r="F62" s="285">
        <v>66258</v>
      </c>
      <c r="G62" s="286"/>
      <c r="H62" s="114"/>
      <c r="I62" s="287"/>
      <c r="J62" s="289"/>
      <c r="K62" s="232" t="s">
        <v>24</v>
      </c>
      <c r="L62" s="287" t="s">
        <v>108</v>
      </c>
      <c r="M62" s="335"/>
      <c r="N62" s="212">
        <v>1</v>
      </c>
      <c r="O62" s="149">
        <f>3.5+7+2</f>
        <v>12.5</v>
      </c>
      <c r="P62" s="114">
        <f t="shared" ref="P62:P122" si="5">1.5*2</f>
        <v>3</v>
      </c>
      <c r="Q62" s="114"/>
      <c r="R62" s="114"/>
      <c r="S62" s="114"/>
      <c r="T62" s="114"/>
      <c r="U62" s="114"/>
      <c r="V62" s="114"/>
      <c r="W62" s="114"/>
      <c r="X62" s="114">
        <v>1</v>
      </c>
      <c r="Y62" s="114"/>
      <c r="Z62" s="114"/>
      <c r="AA62" s="114"/>
      <c r="AB62" s="114"/>
      <c r="AC62" s="114"/>
      <c r="AD62" s="114"/>
      <c r="AE62" s="114"/>
      <c r="AF62" s="114"/>
    </row>
    <row r="63" spans="2:32" ht="12.75" customHeight="1" x14ac:dyDescent="0.2">
      <c r="B63" s="21">
        <v>1</v>
      </c>
      <c r="D63" s="114"/>
      <c r="E63" s="114" t="s">
        <v>737</v>
      </c>
      <c r="F63" s="285">
        <v>66258</v>
      </c>
      <c r="G63" s="286"/>
      <c r="H63" s="114"/>
      <c r="I63" s="287"/>
      <c r="J63" s="289"/>
      <c r="K63" s="232" t="s">
        <v>24</v>
      </c>
      <c r="L63" s="287" t="s">
        <v>107</v>
      </c>
      <c r="M63" s="335"/>
      <c r="N63" s="212">
        <v>1</v>
      </c>
      <c r="O63" s="149"/>
      <c r="P63" s="114">
        <f t="shared" si="5"/>
        <v>3</v>
      </c>
      <c r="Q63" s="114"/>
      <c r="R63" s="114"/>
      <c r="S63" s="114"/>
      <c r="T63" s="114"/>
      <c r="U63" s="114"/>
      <c r="V63" s="114"/>
      <c r="W63" s="114"/>
      <c r="X63" s="114">
        <v>1</v>
      </c>
      <c r="Y63" s="114"/>
      <c r="Z63" s="114"/>
      <c r="AA63" s="114"/>
      <c r="AB63" s="114"/>
      <c r="AC63" s="114"/>
      <c r="AD63" s="114"/>
      <c r="AE63" s="114"/>
      <c r="AF63" s="114"/>
    </row>
    <row r="64" spans="2:32" ht="12.75" customHeight="1" x14ac:dyDescent="0.2">
      <c r="B64" s="21">
        <v>1</v>
      </c>
      <c r="D64" s="114" t="s">
        <v>430</v>
      </c>
      <c r="E64" s="114" t="s">
        <v>737</v>
      </c>
      <c r="F64" s="285">
        <v>66378</v>
      </c>
      <c r="G64" s="286"/>
      <c r="H64" s="114"/>
      <c r="I64" s="287"/>
      <c r="J64" s="289"/>
      <c r="K64" s="232" t="s">
        <v>24</v>
      </c>
      <c r="L64" s="287" t="s">
        <v>108</v>
      </c>
      <c r="M64" s="335"/>
      <c r="N64" s="212">
        <v>1</v>
      </c>
      <c r="O64" s="149">
        <f>3.5+7+2</f>
        <v>12.5</v>
      </c>
      <c r="P64" s="114">
        <f t="shared" si="5"/>
        <v>3</v>
      </c>
      <c r="Q64" s="114"/>
      <c r="R64" s="114"/>
      <c r="S64" s="114"/>
      <c r="T64" s="114"/>
      <c r="U64" s="114"/>
      <c r="V64" s="114"/>
      <c r="W64" s="114"/>
      <c r="X64" s="114">
        <v>1</v>
      </c>
      <c r="Y64" s="114"/>
      <c r="Z64" s="114"/>
      <c r="AA64" s="114"/>
      <c r="AB64" s="114"/>
      <c r="AC64" s="114"/>
      <c r="AD64" s="114"/>
      <c r="AE64" s="114"/>
      <c r="AF64" s="114"/>
    </row>
    <row r="65" spans="2:32" ht="12.75" customHeight="1" x14ac:dyDescent="0.2">
      <c r="B65" s="21">
        <v>1</v>
      </c>
      <c r="D65" s="114"/>
      <c r="E65" s="114" t="s">
        <v>737</v>
      </c>
      <c r="F65" s="285">
        <v>66378</v>
      </c>
      <c r="G65" s="286"/>
      <c r="H65" s="114"/>
      <c r="I65" s="287"/>
      <c r="J65" s="289"/>
      <c r="K65" s="232" t="s">
        <v>24</v>
      </c>
      <c r="L65" s="287" t="s">
        <v>107</v>
      </c>
      <c r="M65" s="335"/>
      <c r="N65" s="212">
        <v>1</v>
      </c>
      <c r="O65" s="149"/>
      <c r="P65" s="114">
        <f t="shared" si="5"/>
        <v>3</v>
      </c>
      <c r="Q65" s="114"/>
      <c r="R65" s="114"/>
      <c r="S65" s="110"/>
      <c r="T65" s="114"/>
      <c r="U65" s="114"/>
      <c r="V65" s="114"/>
      <c r="W65" s="114"/>
      <c r="X65" s="114">
        <v>1</v>
      </c>
      <c r="Y65" s="114"/>
      <c r="Z65" s="114"/>
      <c r="AA65" s="114"/>
      <c r="AB65" s="114"/>
      <c r="AC65" s="114"/>
      <c r="AD65" s="114"/>
      <c r="AE65" s="114"/>
      <c r="AF65" s="114"/>
    </row>
    <row r="66" spans="2:32" ht="12.75" customHeight="1" x14ac:dyDescent="0.2">
      <c r="B66" s="21">
        <v>1</v>
      </c>
      <c r="D66" s="114" t="s">
        <v>431</v>
      </c>
      <c r="E66" s="114" t="s">
        <v>737</v>
      </c>
      <c r="F66" s="285">
        <v>66498</v>
      </c>
      <c r="G66" s="286"/>
      <c r="H66" s="114"/>
      <c r="I66" s="287"/>
      <c r="J66" s="289"/>
      <c r="K66" s="232" t="s">
        <v>24</v>
      </c>
      <c r="L66" s="287" t="s">
        <v>108</v>
      </c>
      <c r="M66" s="335"/>
      <c r="N66" s="212">
        <v>1</v>
      </c>
      <c r="O66" s="149">
        <f>3.5+7+2</f>
        <v>12.5</v>
      </c>
      <c r="P66" s="114">
        <f t="shared" si="5"/>
        <v>3</v>
      </c>
      <c r="Q66" s="114"/>
      <c r="R66" s="114"/>
      <c r="S66" s="110"/>
      <c r="T66" s="114"/>
      <c r="U66" s="114"/>
      <c r="V66" s="114"/>
      <c r="W66" s="114"/>
      <c r="X66" s="114">
        <v>1</v>
      </c>
      <c r="Y66" s="114"/>
      <c r="Z66" s="114"/>
      <c r="AA66" s="114"/>
      <c r="AB66" s="114"/>
      <c r="AC66" s="114"/>
      <c r="AD66" s="114"/>
      <c r="AE66" s="114"/>
      <c r="AF66" s="114"/>
    </row>
    <row r="67" spans="2:32" ht="12.75" customHeight="1" x14ac:dyDescent="0.2">
      <c r="B67" s="21">
        <v>1</v>
      </c>
      <c r="D67" s="114"/>
      <c r="E67" s="114" t="s">
        <v>737</v>
      </c>
      <c r="F67" s="285">
        <v>66498</v>
      </c>
      <c r="G67" s="286"/>
      <c r="H67" s="114"/>
      <c r="I67" s="287"/>
      <c r="J67" s="289"/>
      <c r="K67" s="232" t="s">
        <v>24</v>
      </c>
      <c r="L67" s="287" t="s">
        <v>107</v>
      </c>
      <c r="M67" s="335"/>
      <c r="N67" s="212">
        <v>1</v>
      </c>
      <c r="O67" s="149"/>
      <c r="P67" s="114">
        <f t="shared" si="5"/>
        <v>3</v>
      </c>
      <c r="Q67" s="114"/>
      <c r="R67" s="114"/>
      <c r="S67" s="110"/>
      <c r="T67" s="114"/>
      <c r="U67" s="114"/>
      <c r="V67" s="114"/>
      <c r="W67" s="114"/>
      <c r="X67" s="114">
        <v>1</v>
      </c>
      <c r="Y67" s="114"/>
      <c r="Z67" s="114"/>
      <c r="AA67" s="114"/>
      <c r="AB67" s="114"/>
      <c r="AC67" s="114"/>
      <c r="AD67" s="114"/>
      <c r="AE67" s="114"/>
      <c r="AF67" s="114"/>
    </row>
    <row r="68" spans="2:32" ht="12.75" customHeight="1" x14ac:dyDescent="0.2">
      <c r="B68" s="21">
        <v>1</v>
      </c>
      <c r="D68" s="114" t="s">
        <v>432</v>
      </c>
      <c r="E68" s="114" t="s">
        <v>737</v>
      </c>
      <c r="F68" s="285">
        <v>66618</v>
      </c>
      <c r="G68" s="286"/>
      <c r="H68" s="114"/>
      <c r="I68" s="287"/>
      <c r="J68" s="289"/>
      <c r="K68" s="232" t="s">
        <v>24</v>
      </c>
      <c r="L68" s="287" t="s">
        <v>108</v>
      </c>
      <c r="M68" s="335"/>
      <c r="N68" s="212">
        <v>1</v>
      </c>
      <c r="O68" s="149">
        <f>3.5+7+2</f>
        <v>12.5</v>
      </c>
      <c r="P68" s="114">
        <f t="shared" si="5"/>
        <v>3</v>
      </c>
      <c r="Q68" s="114"/>
      <c r="R68" s="114"/>
      <c r="S68" s="114"/>
      <c r="T68" s="114"/>
      <c r="U68" s="114"/>
      <c r="V68" s="114"/>
      <c r="W68" s="114"/>
      <c r="X68" s="114">
        <v>1</v>
      </c>
      <c r="Y68" s="114"/>
      <c r="Z68" s="114"/>
      <c r="AA68" s="114"/>
      <c r="AB68" s="114"/>
      <c r="AC68" s="114"/>
      <c r="AD68" s="114"/>
      <c r="AE68" s="114"/>
      <c r="AF68" s="114"/>
    </row>
    <row r="69" spans="2:32" ht="12.75" customHeight="1" x14ac:dyDescent="0.2">
      <c r="B69" s="21">
        <v>1</v>
      </c>
      <c r="D69" s="114"/>
      <c r="E69" s="114" t="s">
        <v>737</v>
      </c>
      <c r="F69" s="285">
        <v>66618</v>
      </c>
      <c r="G69" s="286"/>
      <c r="H69" s="114"/>
      <c r="I69" s="287"/>
      <c r="J69" s="289"/>
      <c r="K69" s="232" t="s">
        <v>24</v>
      </c>
      <c r="L69" s="287" t="s">
        <v>107</v>
      </c>
      <c r="M69" s="335"/>
      <c r="N69" s="212">
        <v>1</v>
      </c>
      <c r="O69" s="149"/>
      <c r="P69" s="114">
        <f t="shared" si="5"/>
        <v>3</v>
      </c>
      <c r="Q69" s="114"/>
      <c r="R69" s="114"/>
      <c r="S69" s="114"/>
      <c r="T69" s="114"/>
      <c r="U69" s="114"/>
      <c r="V69" s="114"/>
      <c r="W69" s="114"/>
      <c r="X69" s="114">
        <v>1</v>
      </c>
      <c r="Y69" s="114"/>
      <c r="Z69" s="114"/>
      <c r="AA69" s="114"/>
      <c r="AB69" s="114"/>
      <c r="AC69" s="114"/>
      <c r="AD69" s="114"/>
      <c r="AE69" s="114"/>
      <c r="AF69" s="114"/>
    </row>
    <row r="70" spans="2:32" ht="12.75" customHeight="1" x14ac:dyDescent="0.2">
      <c r="B70" s="21"/>
      <c r="D70" s="114"/>
      <c r="E70" s="114"/>
      <c r="F70" s="147"/>
      <c r="G70" s="148"/>
      <c r="H70" s="114"/>
      <c r="I70" s="156"/>
      <c r="J70" s="164"/>
      <c r="K70" s="232"/>
      <c r="L70" s="156"/>
      <c r="M70" s="157"/>
      <c r="N70" s="212"/>
      <c r="O70" s="149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</row>
    <row r="71" spans="2:32" ht="12.75" customHeight="1" x14ac:dyDescent="0.2">
      <c r="B71" s="21">
        <v>1</v>
      </c>
      <c r="C71" s="5">
        <f>898+18</f>
        <v>916</v>
      </c>
      <c r="D71" s="114" t="s">
        <v>433</v>
      </c>
      <c r="E71" s="114" t="s">
        <v>738</v>
      </c>
      <c r="F71" s="285">
        <v>66739</v>
      </c>
      <c r="G71" s="286"/>
      <c r="H71" s="114"/>
      <c r="I71" s="287"/>
      <c r="J71" s="289"/>
      <c r="K71" s="232" t="s">
        <v>24</v>
      </c>
      <c r="L71" s="287" t="s">
        <v>108</v>
      </c>
      <c r="M71" s="335"/>
      <c r="N71" s="212">
        <v>1</v>
      </c>
      <c r="O71" s="149">
        <f>3.5+7+2</f>
        <v>12.5</v>
      </c>
      <c r="P71" s="114">
        <f t="shared" si="5"/>
        <v>3</v>
      </c>
      <c r="Q71" s="114"/>
      <c r="R71" s="114"/>
      <c r="S71" s="114"/>
      <c r="T71" s="114"/>
      <c r="U71" s="114"/>
      <c r="V71" s="114"/>
      <c r="W71" s="114"/>
      <c r="X71" s="114">
        <v>1</v>
      </c>
      <c r="Y71" s="114"/>
      <c r="Z71" s="114"/>
      <c r="AA71" s="114"/>
      <c r="AB71" s="114"/>
      <c r="AC71" s="114"/>
      <c r="AD71" s="114"/>
      <c r="AE71" s="114"/>
      <c r="AF71" s="114"/>
    </row>
    <row r="72" spans="2:32" ht="12.75" customHeight="1" x14ac:dyDescent="0.2">
      <c r="B72" s="21">
        <v>1</v>
      </c>
      <c r="D72" s="114"/>
      <c r="E72" s="114" t="s">
        <v>738</v>
      </c>
      <c r="F72" s="285">
        <v>66739</v>
      </c>
      <c r="G72" s="286"/>
      <c r="H72" s="114"/>
      <c r="I72" s="287"/>
      <c r="J72" s="289"/>
      <c r="K72" s="232" t="s">
        <v>24</v>
      </c>
      <c r="L72" s="287" t="s">
        <v>107</v>
      </c>
      <c r="M72" s="335"/>
      <c r="N72" s="212">
        <v>1</v>
      </c>
      <c r="O72" s="149"/>
      <c r="P72" s="114">
        <f t="shared" si="5"/>
        <v>3</v>
      </c>
      <c r="Q72" s="114"/>
      <c r="R72" s="114"/>
      <c r="S72" s="114"/>
      <c r="T72" s="114"/>
      <c r="U72" s="114"/>
      <c r="V72" s="114"/>
      <c r="W72" s="114"/>
      <c r="X72" s="114">
        <v>1</v>
      </c>
      <c r="Y72" s="114"/>
      <c r="Z72" s="114"/>
      <c r="AA72" s="114"/>
      <c r="AB72" s="114"/>
      <c r="AC72" s="114"/>
      <c r="AD72" s="114"/>
      <c r="AE72" s="114"/>
      <c r="AF72" s="114"/>
    </row>
    <row r="73" spans="2:32" ht="12.75" customHeight="1" x14ac:dyDescent="0.2">
      <c r="B73" s="21">
        <v>1</v>
      </c>
      <c r="D73" s="114" t="s">
        <v>434</v>
      </c>
      <c r="E73" s="114" t="s">
        <v>738</v>
      </c>
      <c r="F73" s="285">
        <v>66849</v>
      </c>
      <c r="G73" s="286"/>
      <c r="H73" s="114"/>
      <c r="I73" s="287"/>
      <c r="J73" s="289"/>
      <c r="K73" s="232" t="s">
        <v>24</v>
      </c>
      <c r="L73" s="287" t="s">
        <v>108</v>
      </c>
      <c r="M73" s="335"/>
      <c r="N73" s="212">
        <v>1</v>
      </c>
      <c r="O73" s="149">
        <f t="shared" ref="O73:O121" si="6">3.5+7+2</f>
        <v>12.5</v>
      </c>
      <c r="P73" s="114">
        <f t="shared" si="5"/>
        <v>3</v>
      </c>
      <c r="Q73" s="114"/>
      <c r="R73" s="114"/>
      <c r="S73" s="114"/>
      <c r="T73" s="114"/>
      <c r="U73" s="114"/>
      <c r="V73" s="114"/>
      <c r="W73" s="114"/>
      <c r="X73" s="114">
        <v>1</v>
      </c>
      <c r="Y73" s="114"/>
      <c r="Z73" s="114"/>
      <c r="AA73" s="114"/>
      <c r="AB73" s="114"/>
      <c r="AC73" s="114"/>
      <c r="AD73" s="114"/>
      <c r="AE73" s="114"/>
      <c r="AF73" s="114"/>
    </row>
    <row r="74" spans="2:32" ht="12.75" customHeight="1" x14ac:dyDescent="0.2">
      <c r="B74" s="21">
        <v>1</v>
      </c>
      <c r="D74" s="114"/>
      <c r="E74" s="114" t="s">
        <v>738</v>
      </c>
      <c r="F74" s="285">
        <v>66859</v>
      </c>
      <c r="G74" s="286"/>
      <c r="H74" s="114"/>
      <c r="I74" s="287"/>
      <c r="J74" s="289"/>
      <c r="K74" s="232" t="s">
        <v>24</v>
      </c>
      <c r="L74" s="287" t="s">
        <v>107</v>
      </c>
      <c r="M74" s="335"/>
      <c r="N74" s="212">
        <v>1</v>
      </c>
      <c r="O74" s="149"/>
      <c r="P74" s="114">
        <f t="shared" si="5"/>
        <v>3</v>
      </c>
      <c r="Q74" s="114"/>
      <c r="R74" s="114"/>
      <c r="S74" s="114"/>
      <c r="T74" s="114"/>
      <c r="U74" s="114"/>
      <c r="V74" s="114"/>
      <c r="W74" s="114"/>
      <c r="X74" s="114">
        <v>1</v>
      </c>
      <c r="Y74" s="114"/>
      <c r="Z74" s="114"/>
      <c r="AA74" s="114"/>
      <c r="AB74" s="114"/>
      <c r="AC74" s="114"/>
      <c r="AD74" s="114"/>
      <c r="AE74" s="114"/>
      <c r="AF74" s="114"/>
    </row>
    <row r="75" spans="2:32" ht="12.75" customHeight="1" x14ac:dyDescent="0.2">
      <c r="B75" s="21">
        <v>1</v>
      </c>
      <c r="D75" s="114" t="s">
        <v>435</v>
      </c>
      <c r="E75" s="114" t="s">
        <v>738</v>
      </c>
      <c r="F75" s="285">
        <v>66979</v>
      </c>
      <c r="G75" s="286"/>
      <c r="H75" s="114"/>
      <c r="I75" s="287"/>
      <c r="J75" s="289"/>
      <c r="K75" s="232" t="s">
        <v>24</v>
      </c>
      <c r="L75" s="287" t="s">
        <v>110</v>
      </c>
      <c r="M75" s="335"/>
      <c r="N75" s="212">
        <v>1</v>
      </c>
      <c r="O75" s="149">
        <f t="shared" si="6"/>
        <v>12.5</v>
      </c>
      <c r="P75" s="114">
        <f t="shared" si="5"/>
        <v>3</v>
      </c>
      <c r="Q75" s="114"/>
      <c r="R75" s="114"/>
      <c r="S75" s="114"/>
      <c r="T75" s="114"/>
      <c r="U75" s="114"/>
      <c r="V75" s="114"/>
      <c r="W75" s="114"/>
      <c r="X75" s="114">
        <v>1</v>
      </c>
      <c r="Y75" s="114"/>
      <c r="Z75" s="114"/>
      <c r="AA75" s="114"/>
      <c r="AB75" s="114"/>
      <c r="AC75" s="114"/>
      <c r="AD75" s="114"/>
      <c r="AE75" s="114"/>
      <c r="AF75" s="114"/>
    </row>
    <row r="76" spans="2:32" ht="12.75" customHeight="1" x14ac:dyDescent="0.2">
      <c r="B76" s="21">
        <v>1</v>
      </c>
      <c r="D76" s="114"/>
      <c r="E76" s="114" t="s">
        <v>738</v>
      </c>
      <c r="F76" s="285">
        <v>66979</v>
      </c>
      <c r="G76" s="286"/>
      <c r="H76" s="114"/>
      <c r="I76" s="287"/>
      <c r="J76" s="289"/>
      <c r="K76" s="232" t="s">
        <v>24</v>
      </c>
      <c r="L76" s="287" t="s">
        <v>111</v>
      </c>
      <c r="M76" s="335"/>
      <c r="N76" s="212">
        <v>1</v>
      </c>
      <c r="O76" s="149"/>
      <c r="P76" s="114">
        <f t="shared" si="5"/>
        <v>3</v>
      </c>
      <c r="Q76" s="114"/>
      <c r="R76" s="114"/>
      <c r="S76" s="114"/>
      <c r="T76" s="114"/>
      <c r="U76" s="114"/>
      <c r="V76" s="114"/>
      <c r="W76" s="114"/>
      <c r="X76" s="114">
        <v>1</v>
      </c>
      <c r="Y76" s="114"/>
      <c r="Z76" s="114"/>
      <c r="AA76" s="114"/>
      <c r="AB76" s="114"/>
      <c r="AC76" s="114"/>
      <c r="AD76" s="114"/>
      <c r="AE76" s="114"/>
      <c r="AF76" s="114"/>
    </row>
    <row r="77" spans="2:32" ht="12.75" customHeight="1" x14ac:dyDescent="0.2">
      <c r="B77" s="21">
        <v>1</v>
      </c>
      <c r="D77" s="114" t="s">
        <v>436</v>
      </c>
      <c r="E77" s="114" t="s">
        <v>738</v>
      </c>
      <c r="F77" s="285">
        <v>67099</v>
      </c>
      <c r="G77" s="286"/>
      <c r="H77" s="114"/>
      <c r="I77" s="287"/>
      <c r="J77" s="289"/>
      <c r="K77" s="232" t="s">
        <v>24</v>
      </c>
      <c r="L77" s="287" t="s">
        <v>112</v>
      </c>
      <c r="M77" s="335"/>
      <c r="N77" s="212">
        <v>1</v>
      </c>
      <c r="O77" s="149">
        <f t="shared" si="6"/>
        <v>12.5</v>
      </c>
      <c r="P77" s="114">
        <f t="shared" si="5"/>
        <v>3</v>
      </c>
      <c r="Q77" s="114"/>
      <c r="R77" s="114"/>
      <c r="S77" s="114"/>
      <c r="T77" s="114"/>
      <c r="U77" s="114"/>
      <c r="V77" s="114"/>
      <c r="W77" s="114"/>
      <c r="X77" s="114">
        <v>1</v>
      </c>
      <c r="Y77" s="114"/>
      <c r="Z77" s="114"/>
      <c r="AA77" s="114"/>
      <c r="AB77" s="114"/>
      <c r="AC77" s="114"/>
      <c r="AD77" s="114"/>
      <c r="AE77" s="114"/>
      <c r="AF77" s="114"/>
    </row>
    <row r="78" spans="2:32" ht="12.75" customHeight="1" x14ac:dyDescent="0.2">
      <c r="B78" s="21">
        <v>1</v>
      </c>
      <c r="D78" s="114"/>
      <c r="E78" s="114" t="s">
        <v>738</v>
      </c>
      <c r="F78" s="285">
        <v>67099</v>
      </c>
      <c r="G78" s="286"/>
      <c r="H78" s="114"/>
      <c r="I78" s="287"/>
      <c r="J78" s="289"/>
      <c r="K78" s="232" t="s">
        <v>24</v>
      </c>
      <c r="L78" s="287" t="s">
        <v>113</v>
      </c>
      <c r="M78" s="335"/>
      <c r="N78" s="212">
        <v>1</v>
      </c>
      <c r="O78" s="149"/>
      <c r="P78" s="114">
        <f t="shared" si="5"/>
        <v>3</v>
      </c>
      <c r="Q78" s="114"/>
      <c r="R78" s="114"/>
      <c r="S78" s="114"/>
      <c r="T78" s="114"/>
      <c r="U78" s="114"/>
      <c r="V78" s="114"/>
      <c r="W78" s="114"/>
      <c r="X78" s="114">
        <v>1</v>
      </c>
      <c r="Y78" s="114"/>
      <c r="Z78" s="114"/>
      <c r="AA78" s="114"/>
      <c r="AB78" s="114"/>
      <c r="AC78" s="114"/>
      <c r="AD78" s="114"/>
      <c r="AE78" s="114"/>
      <c r="AF78" s="114"/>
    </row>
    <row r="79" spans="2:32" ht="12.75" customHeight="1" x14ac:dyDescent="0.2">
      <c r="B79" s="21"/>
      <c r="D79" s="114"/>
      <c r="E79" s="114"/>
      <c r="F79" s="147"/>
      <c r="G79" s="148"/>
      <c r="H79" s="114"/>
      <c r="I79" s="156"/>
      <c r="J79" s="164"/>
      <c r="K79" s="232"/>
      <c r="L79" s="156"/>
      <c r="M79" s="157"/>
      <c r="N79" s="212"/>
      <c r="O79" s="149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</row>
    <row r="80" spans="2:32" ht="12.75" customHeight="1" x14ac:dyDescent="0.2">
      <c r="B80" s="21"/>
      <c r="D80" s="114"/>
      <c r="E80" s="114"/>
      <c r="F80" s="147"/>
      <c r="G80" s="148"/>
      <c r="H80" s="114"/>
      <c r="I80" s="156"/>
      <c r="J80" s="164"/>
      <c r="K80" s="232"/>
      <c r="L80" s="156"/>
      <c r="M80" s="157"/>
      <c r="N80" s="212"/>
      <c r="O80" s="149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</row>
    <row r="81" spans="2:34" ht="12.75" customHeight="1" x14ac:dyDescent="0.2">
      <c r="B81" s="21"/>
      <c r="D81" s="114"/>
      <c r="E81" s="114"/>
      <c r="F81" s="147"/>
      <c r="G81" s="148"/>
      <c r="H81" s="114"/>
      <c r="I81" s="156"/>
      <c r="J81" s="164"/>
      <c r="K81" s="232"/>
      <c r="L81" s="156"/>
      <c r="M81" s="157"/>
      <c r="N81" s="212"/>
      <c r="O81" s="149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</row>
    <row r="82" spans="2:34" ht="12.75" customHeight="1" x14ac:dyDescent="0.2">
      <c r="B82" s="21"/>
      <c r="D82" s="114"/>
      <c r="E82" s="114"/>
      <c r="F82" s="147"/>
      <c r="G82" s="148"/>
      <c r="H82" s="114"/>
      <c r="I82" s="156"/>
      <c r="J82" s="164"/>
      <c r="K82" s="232"/>
      <c r="L82" s="156"/>
      <c r="M82" s="157"/>
      <c r="N82" s="212"/>
      <c r="O82" s="149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</row>
    <row r="83" spans="2:34" ht="12.75" customHeight="1" thickBot="1" x14ac:dyDescent="0.25">
      <c r="B83" s="21"/>
      <c r="D83" s="114"/>
      <c r="E83" s="114"/>
      <c r="F83" s="147"/>
      <c r="G83" s="148"/>
      <c r="H83" s="114"/>
      <c r="I83" s="156"/>
      <c r="J83" s="164"/>
      <c r="K83" s="234"/>
      <c r="L83" s="159"/>
      <c r="M83" s="228"/>
      <c r="N83" s="213"/>
      <c r="O83" s="139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</row>
    <row r="84" spans="2:34" ht="12.75" customHeight="1" x14ac:dyDescent="0.2">
      <c r="B84" s="5" t="s">
        <v>11</v>
      </c>
      <c r="D84" s="271" t="s">
        <v>766</v>
      </c>
      <c r="E84" s="272"/>
      <c r="F84" s="272"/>
      <c r="G84" s="272"/>
      <c r="H84" s="272"/>
      <c r="I84" s="272"/>
      <c r="J84" s="272"/>
      <c r="K84" s="272"/>
      <c r="L84" s="272"/>
      <c r="M84" s="272"/>
      <c r="N84" s="291"/>
      <c r="O84" s="160">
        <f>SUM(O24:O83)</f>
        <v>331</v>
      </c>
      <c r="P84" s="160">
        <f t="shared" ref="P84:AC84" si="7">SUM(P24:P83)</f>
        <v>162.75</v>
      </c>
      <c r="Q84" s="160">
        <f t="shared" si="7"/>
        <v>10</v>
      </c>
      <c r="R84" s="160">
        <f t="shared" si="7"/>
        <v>10</v>
      </c>
      <c r="S84" s="160">
        <f t="shared" si="7"/>
        <v>0</v>
      </c>
      <c r="T84" s="160">
        <f t="shared" si="7"/>
        <v>0</v>
      </c>
      <c r="U84" s="160">
        <f t="shared" si="7"/>
        <v>0</v>
      </c>
      <c r="V84" s="160">
        <f t="shared" si="7"/>
        <v>0</v>
      </c>
      <c r="W84" s="160">
        <f t="shared" si="7"/>
        <v>0</v>
      </c>
      <c r="X84" s="160">
        <f t="shared" si="7"/>
        <v>21</v>
      </c>
      <c r="Y84" s="160">
        <f t="shared" si="7"/>
        <v>0</v>
      </c>
      <c r="Z84" s="160">
        <f t="shared" si="7"/>
        <v>0</v>
      </c>
      <c r="AA84" s="160">
        <f t="shared" si="7"/>
        <v>0</v>
      </c>
      <c r="AB84" s="160">
        <f t="shared" si="7"/>
        <v>0</v>
      </c>
      <c r="AC84" s="160">
        <f t="shared" si="7"/>
        <v>0</v>
      </c>
      <c r="AD84" s="160">
        <f>SUM(AD24:AD83)</f>
        <v>0</v>
      </c>
      <c r="AE84" s="160">
        <f t="shared" ref="AE84" si="8">SUM(AE24:AE83)</f>
        <v>0</v>
      </c>
      <c r="AF84" s="160">
        <f t="shared" ref="AF84" si="9">SUM(AF24:AF83)</f>
        <v>0</v>
      </c>
    </row>
    <row r="85" spans="2:34" ht="12.75" customHeight="1" x14ac:dyDescent="0.2">
      <c r="D85" s="94" t="s">
        <v>701</v>
      </c>
      <c r="E85" s="78"/>
      <c r="F85" s="78"/>
      <c r="G85" s="78"/>
      <c r="H85" s="78"/>
      <c r="I85" s="78"/>
      <c r="J85" s="239"/>
      <c r="K85" s="78"/>
      <c r="L85" s="226"/>
      <c r="M85" s="69"/>
      <c r="N85" s="229"/>
      <c r="O85" s="69">
        <f t="shared" ref="O85:AF85" si="10">SUMIF($N24:$N83, 1, O24:O83)</f>
        <v>163.5</v>
      </c>
      <c r="P85" s="69">
        <f t="shared" si="10"/>
        <v>70</v>
      </c>
      <c r="Q85" s="69">
        <f t="shared" si="10"/>
        <v>1</v>
      </c>
      <c r="R85" s="69">
        <f t="shared" si="10"/>
        <v>1</v>
      </c>
      <c r="S85" s="69">
        <f t="shared" si="10"/>
        <v>0</v>
      </c>
      <c r="T85" s="69">
        <f t="shared" si="10"/>
        <v>0</v>
      </c>
      <c r="U85" s="69">
        <f t="shared" si="10"/>
        <v>0</v>
      </c>
      <c r="V85" s="69">
        <f t="shared" si="10"/>
        <v>0</v>
      </c>
      <c r="W85" s="69">
        <f t="shared" si="10"/>
        <v>0</v>
      </c>
      <c r="X85" s="69">
        <f t="shared" si="10"/>
        <v>18</v>
      </c>
      <c r="Y85" s="69">
        <f t="shared" si="10"/>
        <v>0</v>
      </c>
      <c r="Z85" s="69">
        <f t="shared" si="10"/>
        <v>0</v>
      </c>
      <c r="AA85" s="69">
        <f t="shared" si="10"/>
        <v>0</v>
      </c>
      <c r="AB85" s="69">
        <f t="shared" si="10"/>
        <v>0</v>
      </c>
      <c r="AC85" s="69">
        <f t="shared" si="10"/>
        <v>0</v>
      </c>
      <c r="AD85" s="69">
        <f t="shared" si="10"/>
        <v>0</v>
      </c>
      <c r="AE85" s="69">
        <f t="shared" si="10"/>
        <v>0</v>
      </c>
      <c r="AF85" s="69">
        <f t="shared" si="10"/>
        <v>0</v>
      </c>
      <c r="AG85" s="69"/>
      <c r="AH85" s="69"/>
    </row>
    <row r="86" spans="2:34" ht="12.75" customHeight="1" x14ac:dyDescent="0.2">
      <c r="D86" s="94" t="s">
        <v>702</v>
      </c>
      <c r="E86" s="78"/>
      <c r="F86" s="78"/>
      <c r="G86" s="78"/>
      <c r="H86" s="78"/>
      <c r="I86" s="78"/>
      <c r="J86" s="239"/>
      <c r="K86" s="78"/>
      <c r="L86" s="226"/>
      <c r="M86" s="69"/>
      <c r="N86" s="229"/>
      <c r="O86" s="69">
        <f t="shared" ref="O86:AF86" si="11">SUMIF($N24:$N83, 4, O24:O83)</f>
        <v>167.5</v>
      </c>
      <c r="P86" s="69">
        <f t="shared" si="11"/>
        <v>92.75</v>
      </c>
      <c r="Q86" s="69">
        <f t="shared" si="11"/>
        <v>8</v>
      </c>
      <c r="R86" s="69">
        <f t="shared" si="11"/>
        <v>8</v>
      </c>
      <c r="S86" s="69">
        <f t="shared" si="11"/>
        <v>0</v>
      </c>
      <c r="T86" s="69">
        <f t="shared" si="11"/>
        <v>0</v>
      </c>
      <c r="U86" s="69">
        <f t="shared" si="11"/>
        <v>0</v>
      </c>
      <c r="V86" s="69">
        <f t="shared" si="11"/>
        <v>0</v>
      </c>
      <c r="W86" s="69">
        <f t="shared" si="11"/>
        <v>0</v>
      </c>
      <c r="X86" s="69">
        <f t="shared" si="11"/>
        <v>3</v>
      </c>
      <c r="Y86" s="69">
        <f t="shared" si="11"/>
        <v>0</v>
      </c>
      <c r="Z86" s="69">
        <f t="shared" si="11"/>
        <v>0</v>
      </c>
      <c r="AA86" s="69">
        <f t="shared" si="11"/>
        <v>0</v>
      </c>
      <c r="AB86" s="69">
        <f t="shared" si="11"/>
        <v>0</v>
      </c>
      <c r="AC86" s="69">
        <f t="shared" si="11"/>
        <v>0</v>
      </c>
      <c r="AD86" s="69">
        <f t="shared" si="11"/>
        <v>0</v>
      </c>
      <c r="AE86" s="69">
        <f t="shared" si="11"/>
        <v>0</v>
      </c>
      <c r="AF86" s="69">
        <f t="shared" si="11"/>
        <v>0</v>
      </c>
      <c r="AG86" s="69"/>
      <c r="AH86" s="69"/>
    </row>
    <row r="87" spans="2:34" ht="12.75" customHeight="1" x14ac:dyDescent="0.2">
      <c r="D87" s="94" t="s">
        <v>703</v>
      </c>
      <c r="E87" s="78"/>
      <c r="F87" s="78"/>
      <c r="G87" s="78"/>
      <c r="H87" s="78"/>
      <c r="I87" s="78"/>
      <c r="J87" s="239"/>
      <c r="K87" s="78"/>
      <c r="L87" s="226"/>
      <c r="M87" s="69"/>
      <c r="N87" s="229"/>
      <c r="O87" s="69">
        <f t="shared" ref="O87:AF87" si="12">SUMIF($N24:$N83, 6, O24:O83)</f>
        <v>0</v>
      </c>
      <c r="P87" s="69">
        <f t="shared" si="12"/>
        <v>0</v>
      </c>
      <c r="Q87" s="69">
        <f t="shared" si="12"/>
        <v>0</v>
      </c>
      <c r="R87" s="69">
        <f t="shared" si="12"/>
        <v>0</v>
      </c>
      <c r="S87" s="69">
        <f t="shared" si="12"/>
        <v>0</v>
      </c>
      <c r="T87" s="69">
        <f t="shared" si="12"/>
        <v>0</v>
      </c>
      <c r="U87" s="69">
        <f t="shared" si="12"/>
        <v>0</v>
      </c>
      <c r="V87" s="69">
        <f t="shared" si="12"/>
        <v>0</v>
      </c>
      <c r="W87" s="69">
        <f t="shared" si="12"/>
        <v>0</v>
      </c>
      <c r="X87" s="69">
        <f t="shared" si="12"/>
        <v>0</v>
      </c>
      <c r="Y87" s="69">
        <f t="shared" si="12"/>
        <v>0</v>
      </c>
      <c r="Z87" s="69">
        <f t="shared" si="12"/>
        <v>0</v>
      </c>
      <c r="AA87" s="69">
        <f t="shared" si="12"/>
        <v>0</v>
      </c>
      <c r="AB87" s="69">
        <f t="shared" si="12"/>
        <v>0</v>
      </c>
      <c r="AC87" s="69">
        <f t="shared" si="12"/>
        <v>0</v>
      </c>
      <c r="AD87" s="69">
        <f t="shared" si="12"/>
        <v>0</v>
      </c>
      <c r="AE87" s="69">
        <f t="shared" si="12"/>
        <v>0</v>
      </c>
      <c r="AF87" s="69">
        <f t="shared" si="12"/>
        <v>0</v>
      </c>
      <c r="AG87" s="69"/>
      <c r="AH87" s="69"/>
    </row>
    <row r="88" spans="2:34" ht="12.75" customHeight="1" thickBot="1" x14ac:dyDescent="0.25"/>
    <row r="89" spans="2:34" ht="12.75" customHeight="1" thickBot="1" x14ac:dyDescent="0.25">
      <c r="B89" s="20" t="s">
        <v>9</v>
      </c>
      <c r="D89" s="295" t="str">
        <f>"SUBSUMMARY SHEET " &amp; B90</f>
        <v>SUBSUMMARY SHEET 2</v>
      </c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</row>
    <row r="90" spans="2:34" ht="12.75" customHeight="1" thickBot="1" x14ac:dyDescent="0.25">
      <c r="B90" s="24">
        <v>2</v>
      </c>
      <c r="D90" s="309" t="s">
        <v>7</v>
      </c>
      <c r="E90" s="309"/>
      <c r="F90" s="309"/>
      <c r="G90" s="309"/>
      <c r="H90" s="309"/>
      <c r="I90" s="309"/>
      <c r="J90" s="309"/>
      <c r="K90" s="19"/>
      <c r="L90" s="224"/>
      <c r="M90" s="19"/>
      <c r="N90" s="224"/>
      <c r="O90" s="19" t="s">
        <v>28</v>
      </c>
      <c r="P90" s="19" t="s">
        <v>29</v>
      </c>
      <c r="Q90" s="19" t="s">
        <v>30</v>
      </c>
      <c r="R90" s="19" t="s">
        <v>31</v>
      </c>
      <c r="S90" s="19" t="s">
        <v>682</v>
      </c>
      <c r="T90" s="19" t="s">
        <v>687</v>
      </c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</row>
    <row r="91" spans="2:34" ht="12.75" customHeight="1" thickBot="1" x14ac:dyDescent="0.25">
      <c r="D91" s="310" t="s">
        <v>8</v>
      </c>
      <c r="E91" s="310"/>
      <c r="F91" s="310"/>
      <c r="G91" s="310"/>
      <c r="H91" s="310"/>
      <c r="I91" s="310"/>
      <c r="J91" s="310"/>
      <c r="K91" s="15"/>
      <c r="L91" s="227"/>
      <c r="M91" s="15"/>
      <c r="N91" s="22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2:34" ht="12.75" customHeight="1" x14ac:dyDescent="0.2">
      <c r="B92" s="250" t="s">
        <v>10</v>
      </c>
      <c r="D92" s="253" t="s">
        <v>20</v>
      </c>
      <c r="E92" s="253" t="s">
        <v>21</v>
      </c>
      <c r="F92" s="256" t="s">
        <v>0</v>
      </c>
      <c r="G92" s="257"/>
      <c r="H92" s="257"/>
      <c r="I92" s="257"/>
      <c r="J92" s="312"/>
      <c r="K92" s="300" t="s">
        <v>23</v>
      </c>
      <c r="L92" s="303" t="s">
        <v>568</v>
      </c>
      <c r="M92" s="304"/>
      <c r="N92" s="324" t="s">
        <v>704</v>
      </c>
      <c r="O92" s="161" t="str">
        <f t="shared" ref="O92:R92" si="13">IF(OR(TRIM(O90)=0,TRIM(O90)=""),"",IF(IFERROR(TRIM(INDEX(QryItemNamed,MATCH(TRIM(O90),ITEM,0),2)),"")="Y","SPECIAL",LEFT(IFERROR(TRIM(INDEX(ITEM,MATCH(TRIM(O90),ITEM,0))),""),3)))</f>
        <v>630</v>
      </c>
      <c r="P92" s="145" t="str">
        <f t="shared" si="13"/>
        <v>630</v>
      </c>
      <c r="Q92" s="145" t="str">
        <f t="shared" si="13"/>
        <v>630</v>
      </c>
      <c r="R92" s="145" t="str">
        <f t="shared" si="13"/>
        <v>630</v>
      </c>
      <c r="S92" s="145">
        <v>630</v>
      </c>
      <c r="T92" s="145">
        <v>620</v>
      </c>
      <c r="U92" s="145">
        <v>630</v>
      </c>
      <c r="V92" s="145">
        <v>632</v>
      </c>
      <c r="W92" s="145">
        <v>630</v>
      </c>
      <c r="X92" s="145">
        <v>630</v>
      </c>
      <c r="Y92" s="145"/>
      <c r="Z92" s="145"/>
      <c r="AA92" s="145"/>
      <c r="AB92" s="145"/>
      <c r="AC92" s="145"/>
      <c r="AD92" s="145" t="str">
        <f t="shared" ref="AD92:AF92" si="14">IF(OR(TRIM(AD90)=0,TRIM(AD90)=""),"",IF(IFERROR(TRIM(INDEX(QryItemNamed,MATCH(TRIM(AD90),ITEM,0),2)),"")="Y","SPECIAL",LEFT(IFERROR(TRIM(INDEX(ITEM,MATCH(TRIM(AD90),ITEM,0))),""),3)))</f>
        <v/>
      </c>
      <c r="AE92" s="145" t="str">
        <f t="shared" si="14"/>
        <v/>
      </c>
      <c r="AF92" s="145" t="str">
        <f t="shared" si="14"/>
        <v/>
      </c>
    </row>
    <row r="93" spans="2:34" ht="12.75" customHeight="1" x14ac:dyDescent="0.2">
      <c r="B93" s="251"/>
      <c r="D93" s="254"/>
      <c r="E93" s="254"/>
      <c r="F93" s="258"/>
      <c r="G93" s="259"/>
      <c r="H93" s="259"/>
      <c r="I93" s="259"/>
      <c r="J93" s="313"/>
      <c r="K93" s="301"/>
      <c r="L93" s="305"/>
      <c r="M93" s="306"/>
      <c r="N93" s="325"/>
      <c r="O93" s="311" t="str">
        <f t="shared" ref="O93:R93" si="15">IF(OR(TRIM(O90)=0,TRIM(O90)=""),IF(O91="","",O91),IF(IFERROR(TRIM(INDEX(QryItemNamed,MATCH(TRIM(O90),ITEM,0),2)),"")="Y",TRIM(RIGHT(IFERROR(TRIM(INDEX(QryItemNamed,MATCH(TRIM(O90),ITEM,0),4)),"123456789012"),LEN(IFERROR(TRIM(INDEX(QryItemNamed,MATCH(TRIM(O90),ITEM,0),4)),"123456789012"))-9))&amp;O91,IFERROR(TRIM(INDEX(QryItemNamed,MATCH(TRIM(O90),ITEM,0),4))&amp;O91,"ITEM CODE DOES NOT EXIST IN ITEM MASTER")))</f>
        <v>GROUND MOUNTED SUPPORT, NO. 3 POST</v>
      </c>
      <c r="P93" s="290" t="str">
        <f t="shared" si="15"/>
        <v>SIGN, FLAT SHEET</v>
      </c>
      <c r="Q93" s="290" t="str">
        <f t="shared" si="15"/>
        <v>REMOVAL OF GROUND MOUNTED SIGN AND DISPOSAL</v>
      </c>
      <c r="R93" s="290" t="str">
        <f t="shared" si="15"/>
        <v>REMOVAL OF GROUND MOUNTED POST SUPPORT AND DISPOSAL</v>
      </c>
      <c r="S93" s="290" t="str">
        <f t="shared" ref="S93" si="16">IF(OR(TRIM(S90)=0,TRIM(S90)=""),IF(S91="","",S91),IF(IFERROR(TRIM(INDEX(QryItemNamed,MATCH(TRIM(S90),ITEM,0),2)),"")="Y",TRIM(RIGHT(IFERROR(TRIM(INDEX(QryItemNamed,MATCH(TRIM(S90),ITEM,0),4)),"123456789012"),LEN(IFERROR(TRIM(INDEX(QryItemNamed,MATCH(TRIM(S90),ITEM,0),4)),"123456789012"))-9))&amp;S91,IFERROR(TRIM(INDEX(QryItemNamed,MATCH(TRIM(S90),ITEM,0),4))&amp;S91,"ITEM CODE DOES NOT EXIST IN ITEM MASTER")))</f>
        <v>SIGN SUPPORT ASSEMBLY, POLE MOUNTED</v>
      </c>
      <c r="T93" s="244" t="s">
        <v>697</v>
      </c>
      <c r="U93" s="278" t="s">
        <v>690</v>
      </c>
      <c r="V93" s="278" t="s">
        <v>691</v>
      </c>
      <c r="W93" s="278" t="s">
        <v>768</v>
      </c>
      <c r="X93" s="278" t="s">
        <v>710</v>
      </c>
      <c r="Y93" s="278"/>
      <c r="Z93" s="278"/>
      <c r="AA93" s="290"/>
      <c r="AB93" s="268"/>
      <c r="AC93" s="290"/>
      <c r="AD93" s="278" t="str">
        <f t="shared" ref="AD93:AF93" si="17">IF(OR(TRIM(AD90)=0,TRIM(AD90)=""),IF(AD91="","",AD91),IF(IFERROR(TRIM(INDEX(QryItemNamed,MATCH(TRIM(AD90),ITEM,0),2)),"")="Y",TRIM(RIGHT(IFERROR(TRIM(INDEX(QryItemNamed,MATCH(TRIM(AD90),ITEM,0),4)),"123456789012"),LEN(IFERROR(TRIM(INDEX(QryItemNamed,MATCH(TRIM(AD90),ITEM,0),4)),"123456789012"))-9))&amp;AD91,IFERROR(TRIM(INDEX(QryItemNamed,MATCH(TRIM(AD90),ITEM,0),4))&amp;AD91,"ITEM CODE DOES NOT EXIST IN ITEM MASTER")))</f>
        <v/>
      </c>
      <c r="AE93" s="278" t="str">
        <f t="shared" si="17"/>
        <v/>
      </c>
      <c r="AF93" s="278" t="str">
        <f t="shared" si="17"/>
        <v/>
      </c>
    </row>
    <row r="94" spans="2:34" ht="12.75" customHeight="1" x14ac:dyDescent="0.2">
      <c r="B94" s="251"/>
      <c r="D94" s="254"/>
      <c r="E94" s="254"/>
      <c r="F94" s="258"/>
      <c r="G94" s="259"/>
      <c r="H94" s="259"/>
      <c r="I94" s="259"/>
      <c r="J94" s="313"/>
      <c r="K94" s="301"/>
      <c r="L94" s="305"/>
      <c r="M94" s="306"/>
      <c r="N94" s="325"/>
      <c r="O94" s="311"/>
      <c r="P94" s="290"/>
      <c r="Q94" s="290"/>
      <c r="R94" s="290"/>
      <c r="S94" s="290"/>
      <c r="T94" s="245"/>
      <c r="U94" s="278"/>
      <c r="V94" s="278"/>
      <c r="W94" s="278"/>
      <c r="X94" s="278"/>
      <c r="Y94" s="278"/>
      <c r="Z94" s="278"/>
      <c r="AA94" s="290"/>
      <c r="AB94" s="269"/>
      <c r="AC94" s="290"/>
      <c r="AD94" s="278"/>
      <c r="AE94" s="278"/>
      <c r="AF94" s="278"/>
    </row>
    <row r="95" spans="2:34" ht="12.75" customHeight="1" x14ac:dyDescent="0.2">
      <c r="B95" s="251"/>
      <c r="D95" s="254"/>
      <c r="E95" s="254"/>
      <c r="F95" s="258"/>
      <c r="G95" s="259"/>
      <c r="H95" s="259"/>
      <c r="I95" s="259"/>
      <c r="J95" s="313"/>
      <c r="K95" s="301"/>
      <c r="L95" s="305"/>
      <c r="M95" s="306"/>
      <c r="N95" s="325"/>
      <c r="O95" s="311"/>
      <c r="P95" s="290"/>
      <c r="Q95" s="290"/>
      <c r="R95" s="290"/>
      <c r="S95" s="290"/>
      <c r="T95" s="245"/>
      <c r="U95" s="278"/>
      <c r="V95" s="278"/>
      <c r="W95" s="278"/>
      <c r="X95" s="278"/>
      <c r="Y95" s="278"/>
      <c r="Z95" s="278"/>
      <c r="AA95" s="290"/>
      <c r="AB95" s="269"/>
      <c r="AC95" s="290"/>
      <c r="AD95" s="278"/>
      <c r="AE95" s="278"/>
      <c r="AF95" s="278"/>
    </row>
    <row r="96" spans="2:34" ht="12.75" customHeight="1" x14ac:dyDescent="0.2">
      <c r="B96" s="251"/>
      <c r="D96" s="254"/>
      <c r="E96" s="254"/>
      <c r="F96" s="258"/>
      <c r="G96" s="259"/>
      <c r="H96" s="259"/>
      <c r="I96" s="259"/>
      <c r="J96" s="313"/>
      <c r="K96" s="301"/>
      <c r="L96" s="305"/>
      <c r="M96" s="306"/>
      <c r="N96" s="325"/>
      <c r="O96" s="311"/>
      <c r="P96" s="290"/>
      <c r="Q96" s="290"/>
      <c r="R96" s="290"/>
      <c r="S96" s="290"/>
      <c r="T96" s="245"/>
      <c r="U96" s="278"/>
      <c r="V96" s="278"/>
      <c r="W96" s="278"/>
      <c r="X96" s="278"/>
      <c r="Y96" s="278"/>
      <c r="Z96" s="278"/>
      <c r="AA96" s="290"/>
      <c r="AB96" s="269"/>
      <c r="AC96" s="290"/>
      <c r="AD96" s="278"/>
      <c r="AE96" s="278"/>
      <c r="AF96" s="278"/>
    </row>
    <row r="97" spans="2:32" ht="12.75" customHeight="1" x14ac:dyDescent="0.2">
      <c r="B97" s="251"/>
      <c r="D97" s="254"/>
      <c r="E97" s="254"/>
      <c r="F97" s="258"/>
      <c r="G97" s="259"/>
      <c r="H97" s="259"/>
      <c r="I97" s="259"/>
      <c r="J97" s="313"/>
      <c r="K97" s="301"/>
      <c r="L97" s="305"/>
      <c r="M97" s="306"/>
      <c r="N97" s="325"/>
      <c r="O97" s="311"/>
      <c r="P97" s="290"/>
      <c r="Q97" s="290"/>
      <c r="R97" s="290"/>
      <c r="S97" s="290"/>
      <c r="T97" s="245"/>
      <c r="U97" s="278"/>
      <c r="V97" s="278"/>
      <c r="W97" s="278"/>
      <c r="X97" s="278"/>
      <c r="Y97" s="278"/>
      <c r="Z97" s="278"/>
      <c r="AA97" s="290"/>
      <c r="AB97" s="269"/>
      <c r="AC97" s="290"/>
      <c r="AD97" s="278"/>
      <c r="AE97" s="278"/>
      <c r="AF97" s="278"/>
    </row>
    <row r="98" spans="2:32" ht="12.75" customHeight="1" x14ac:dyDescent="0.2">
      <c r="B98" s="251"/>
      <c r="D98" s="254"/>
      <c r="E98" s="254"/>
      <c r="F98" s="258"/>
      <c r="G98" s="259"/>
      <c r="H98" s="259"/>
      <c r="I98" s="259"/>
      <c r="J98" s="313"/>
      <c r="K98" s="301"/>
      <c r="L98" s="305"/>
      <c r="M98" s="306"/>
      <c r="N98" s="325"/>
      <c r="O98" s="311"/>
      <c r="P98" s="290"/>
      <c r="Q98" s="290"/>
      <c r="R98" s="290"/>
      <c r="S98" s="290"/>
      <c r="T98" s="245"/>
      <c r="U98" s="278"/>
      <c r="V98" s="278"/>
      <c r="W98" s="278"/>
      <c r="X98" s="278"/>
      <c r="Y98" s="278"/>
      <c r="Z98" s="278"/>
      <c r="AA98" s="290"/>
      <c r="AB98" s="269"/>
      <c r="AC98" s="290"/>
      <c r="AD98" s="278"/>
      <c r="AE98" s="278"/>
      <c r="AF98" s="278"/>
    </row>
    <row r="99" spans="2:32" ht="12.75" customHeight="1" x14ac:dyDescent="0.2">
      <c r="B99" s="251"/>
      <c r="D99" s="254"/>
      <c r="E99" s="254"/>
      <c r="F99" s="258"/>
      <c r="G99" s="259"/>
      <c r="H99" s="259"/>
      <c r="I99" s="259"/>
      <c r="J99" s="313"/>
      <c r="K99" s="301"/>
      <c r="L99" s="305"/>
      <c r="M99" s="306"/>
      <c r="N99" s="325"/>
      <c r="O99" s="311"/>
      <c r="P99" s="290"/>
      <c r="Q99" s="290"/>
      <c r="R99" s="290"/>
      <c r="S99" s="290"/>
      <c r="T99" s="245"/>
      <c r="U99" s="278"/>
      <c r="V99" s="278"/>
      <c r="W99" s="278"/>
      <c r="X99" s="278"/>
      <c r="Y99" s="278"/>
      <c r="Z99" s="278"/>
      <c r="AA99" s="290"/>
      <c r="AB99" s="269"/>
      <c r="AC99" s="290"/>
      <c r="AD99" s="278"/>
      <c r="AE99" s="278"/>
      <c r="AF99" s="278"/>
    </row>
    <row r="100" spans="2:32" ht="12.75" customHeight="1" x14ac:dyDescent="0.2">
      <c r="B100" s="251"/>
      <c r="D100" s="254"/>
      <c r="E100" s="254"/>
      <c r="F100" s="258"/>
      <c r="G100" s="259"/>
      <c r="H100" s="259"/>
      <c r="I100" s="259"/>
      <c r="J100" s="313"/>
      <c r="K100" s="301"/>
      <c r="L100" s="305"/>
      <c r="M100" s="306"/>
      <c r="N100" s="325"/>
      <c r="O100" s="311"/>
      <c r="P100" s="290"/>
      <c r="Q100" s="290"/>
      <c r="R100" s="290"/>
      <c r="S100" s="290"/>
      <c r="T100" s="245"/>
      <c r="U100" s="278"/>
      <c r="V100" s="278"/>
      <c r="W100" s="278"/>
      <c r="X100" s="278"/>
      <c r="Y100" s="278"/>
      <c r="Z100" s="278"/>
      <c r="AA100" s="290"/>
      <c r="AB100" s="269"/>
      <c r="AC100" s="290"/>
      <c r="AD100" s="278"/>
      <c r="AE100" s="278"/>
      <c r="AF100" s="278"/>
    </row>
    <row r="101" spans="2:32" ht="12.75" customHeight="1" x14ac:dyDescent="0.2">
      <c r="B101" s="251"/>
      <c r="D101" s="254"/>
      <c r="E101" s="254"/>
      <c r="F101" s="258"/>
      <c r="G101" s="259"/>
      <c r="H101" s="259"/>
      <c r="I101" s="259"/>
      <c r="J101" s="313"/>
      <c r="K101" s="301"/>
      <c r="L101" s="305"/>
      <c r="M101" s="306"/>
      <c r="N101" s="325"/>
      <c r="O101" s="311"/>
      <c r="P101" s="290"/>
      <c r="Q101" s="290"/>
      <c r="R101" s="290"/>
      <c r="S101" s="290"/>
      <c r="T101" s="245"/>
      <c r="U101" s="278"/>
      <c r="V101" s="278"/>
      <c r="W101" s="278"/>
      <c r="X101" s="278"/>
      <c r="Y101" s="278"/>
      <c r="Z101" s="278"/>
      <c r="AA101" s="290"/>
      <c r="AB101" s="269"/>
      <c r="AC101" s="290"/>
      <c r="AD101" s="278"/>
      <c r="AE101" s="278"/>
      <c r="AF101" s="278"/>
    </row>
    <row r="102" spans="2:32" ht="12.75" customHeight="1" x14ac:dyDescent="0.2">
      <c r="B102" s="251"/>
      <c r="D102" s="254"/>
      <c r="E102" s="254"/>
      <c r="F102" s="258"/>
      <c r="G102" s="259"/>
      <c r="H102" s="259"/>
      <c r="I102" s="259"/>
      <c r="J102" s="313"/>
      <c r="K102" s="301"/>
      <c r="L102" s="305"/>
      <c r="M102" s="306"/>
      <c r="N102" s="325"/>
      <c r="O102" s="311"/>
      <c r="P102" s="290"/>
      <c r="Q102" s="290"/>
      <c r="R102" s="290"/>
      <c r="S102" s="290"/>
      <c r="T102" s="245"/>
      <c r="U102" s="278"/>
      <c r="V102" s="278"/>
      <c r="W102" s="278"/>
      <c r="X102" s="278"/>
      <c r="Y102" s="278"/>
      <c r="Z102" s="278"/>
      <c r="AA102" s="290"/>
      <c r="AB102" s="269"/>
      <c r="AC102" s="290"/>
      <c r="AD102" s="278"/>
      <c r="AE102" s="278"/>
      <c r="AF102" s="278"/>
    </row>
    <row r="103" spans="2:32" ht="12.75" customHeight="1" x14ac:dyDescent="0.2">
      <c r="B103" s="251"/>
      <c r="D103" s="254"/>
      <c r="E103" s="254"/>
      <c r="F103" s="258"/>
      <c r="G103" s="259"/>
      <c r="H103" s="259"/>
      <c r="I103" s="259"/>
      <c r="J103" s="313"/>
      <c r="K103" s="301"/>
      <c r="L103" s="305"/>
      <c r="M103" s="306"/>
      <c r="N103" s="325"/>
      <c r="O103" s="311"/>
      <c r="P103" s="290"/>
      <c r="Q103" s="290"/>
      <c r="R103" s="290"/>
      <c r="S103" s="290"/>
      <c r="T103" s="245"/>
      <c r="U103" s="278"/>
      <c r="V103" s="278"/>
      <c r="W103" s="278"/>
      <c r="X103" s="278"/>
      <c r="Y103" s="278"/>
      <c r="Z103" s="278"/>
      <c r="AA103" s="290"/>
      <c r="AB103" s="269"/>
      <c r="AC103" s="290"/>
      <c r="AD103" s="278"/>
      <c r="AE103" s="278"/>
      <c r="AF103" s="278"/>
    </row>
    <row r="104" spans="2:32" ht="12.75" customHeight="1" x14ac:dyDescent="0.2">
      <c r="B104" s="251"/>
      <c r="D104" s="254"/>
      <c r="E104" s="254"/>
      <c r="F104" s="258"/>
      <c r="G104" s="259"/>
      <c r="H104" s="259"/>
      <c r="I104" s="259"/>
      <c r="J104" s="313"/>
      <c r="K104" s="301"/>
      <c r="L104" s="305"/>
      <c r="M104" s="306"/>
      <c r="N104" s="325"/>
      <c r="O104" s="311"/>
      <c r="P104" s="290"/>
      <c r="Q104" s="290"/>
      <c r="R104" s="290"/>
      <c r="S104" s="290"/>
      <c r="T104" s="246"/>
      <c r="U104" s="278"/>
      <c r="V104" s="278"/>
      <c r="W104" s="278"/>
      <c r="X104" s="278"/>
      <c r="Y104" s="278"/>
      <c r="Z104" s="278"/>
      <c r="AA104" s="290"/>
      <c r="AB104" s="270"/>
      <c r="AC104" s="290"/>
      <c r="AD104" s="278"/>
      <c r="AE104" s="278"/>
      <c r="AF104" s="278"/>
    </row>
    <row r="105" spans="2:32" ht="12.75" customHeight="1" thickBot="1" x14ac:dyDescent="0.25">
      <c r="B105" s="252"/>
      <c r="D105" s="255"/>
      <c r="E105" s="255"/>
      <c r="F105" s="260"/>
      <c r="G105" s="261"/>
      <c r="H105" s="261"/>
      <c r="I105" s="261"/>
      <c r="J105" s="314"/>
      <c r="K105" s="302"/>
      <c r="L105" s="307"/>
      <c r="M105" s="308"/>
      <c r="N105" s="326"/>
      <c r="O105" s="138" t="str">
        <f t="shared" ref="O105:T105" si="18">IF(OR(TRIM(O90)=0,TRIM(O90)=""),"",IFERROR(TRIM(INDEX(QryItemNamed,MATCH(TRIM(O90),ITEM,0),3)),""))</f>
        <v>FT</v>
      </c>
      <c r="P105" s="102" t="str">
        <f t="shared" si="18"/>
        <v>SF</v>
      </c>
      <c r="Q105" s="102" t="str">
        <f t="shared" si="18"/>
        <v>EACH</v>
      </c>
      <c r="R105" s="102" t="str">
        <f t="shared" si="18"/>
        <v>EACH</v>
      </c>
      <c r="S105" s="102" t="str">
        <f t="shared" si="18"/>
        <v>EACH</v>
      </c>
      <c r="T105" s="102" t="str">
        <f t="shared" si="18"/>
        <v>EACH</v>
      </c>
      <c r="U105" s="102" t="s">
        <v>51</v>
      </c>
      <c r="V105" s="102" t="s">
        <v>51</v>
      </c>
      <c r="W105" s="102" t="s">
        <v>51</v>
      </c>
      <c r="X105" s="102" t="s">
        <v>51</v>
      </c>
      <c r="Y105" s="102"/>
      <c r="Z105" s="102" t="str">
        <f t="shared" ref="Z105:AB105" si="19">IF(OR(TRIM(Z90)=0,TRIM(Z90)=""),"",IFERROR(TRIM(INDEX(QryItemNamed,MATCH(TRIM(Z90),ITEM,0),3)),""))</f>
        <v/>
      </c>
      <c r="AA105" s="102" t="str">
        <f t="shared" si="19"/>
        <v/>
      </c>
      <c r="AB105" s="102" t="str">
        <f t="shared" si="19"/>
        <v/>
      </c>
      <c r="AC105" s="102" t="str">
        <f>IF(OR(TRIM(AC90)=0,TRIM(AC90)=""),"",IFERROR(TRIM(INDEX(QryItemNamed,MATCH(TRIM(AC90),ITEM,0),3)),""))</f>
        <v/>
      </c>
      <c r="AD105" s="102" t="str">
        <f>IF(OR(TRIM(AD90)=0,TRIM(AD90)=""),"",IFERROR(TRIM(INDEX(QryItemNamed,MATCH(TRIM(AD90),ITEM,0),3)),""))</f>
        <v/>
      </c>
      <c r="AE105" s="102" t="str">
        <f>IF(OR(TRIM(AE90)=0,TRIM(AE90)=""),"",IFERROR(TRIM(INDEX(QryItemNamed,MATCH(TRIM(AE90),ITEM,0),3)),""))</f>
        <v/>
      </c>
      <c r="AF105" s="102" t="str">
        <f>IF(OR(TRIM(AF90)=0,TRIM(AF90)=""),"",IFERROR(TRIM(INDEX(QryItemNamed,MATCH(TRIM(AF90),ITEM,0),3)),""))</f>
        <v/>
      </c>
    </row>
    <row r="106" spans="2:32" ht="12.75" customHeight="1" x14ac:dyDescent="0.2">
      <c r="B106" s="21">
        <v>1</v>
      </c>
      <c r="C106" s="5">
        <f>899+18</f>
        <v>917</v>
      </c>
      <c r="D106" s="114" t="s">
        <v>437</v>
      </c>
      <c r="E106" s="114" t="s">
        <v>739</v>
      </c>
      <c r="F106" s="285">
        <v>67250</v>
      </c>
      <c r="G106" s="286"/>
      <c r="H106" s="114"/>
      <c r="I106" s="332"/>
      <c r="J106" s="333"/>
      <c r="K106" s="232" t="s">
        <v>25</v>
      </c>
      <c r="L106" s="287" t="s">
        <v>107</v>
      </c>
      <c r="M106" s="288"/>
      <c r="N106" s="211">
        <v>1</v>
      </c>
      <c r="O106" s="149">
        <f t="shared" si="6"/>
        <v>12.5</v>
      </c>
      <c r="P106" s="114">
        <f t="shared" si="5"/>
        <v>3</v>
      </c>
      <c r="Q106" s="114"/>
      <c r="R106" s="114"/>
      <c r="S106" s="114"/>
      <c r="T106" s="114"/>
      <c r="U106" s="114"/>
      <c r="V106" s="114"/>
      <c r="W106" s="114"/>
      <c r="X106" s="114">
        <v>1</v>
      </c>
      <c r="Y106" s="114"/>
      <c r="Z106" s="114"/>
      <c r="AA106" s="114"/>
      <c r="AB106" s="114"/>
      <c r="AC106" s="114"/>
      <c r="AD106" s="114"/>
      <c r="AE106" s="114"/>
      <c r="AF106" s="114"/>
    </row>
    <row r="107" spans="2:32" ht="12.75" customHeight="1" x14ac:dyDescent="0.2">
      <c r="B107" s="21">
        <v>1</v>
      </c>
      <c r="D107" s="114"/>
      <c r="E107" s="114" t="s">
        <v>739</v>
      </c>
      <c r="F107" s="285">
        <v>67250</v>
      </c>
      <c r="G107" s="286"/>
      <c r="H107" s="114"/>
      <c r="I107" s="287"/>
      <c r="J107" s="289"/>
      <c r="K107" s="232" t="s">
        <v>25</v>
      </c>
      <c r="L107" s="287" t="s">
        <v>108</v>
      </c>
      <c r="M107" s="288"/>
      <c r="N107" s="212">
        <v>1</v>
      </c>
      <c r="O107" s="149"/>
      <c r="P107" s="114">
        <f t="shared" si="5"/>
        <v>3</v>
      </c>
      <c r="Q107" s="114"/>
      <c r="R107" s="114"/>
      <c r="S107" s="114"/>
      <c r="T107" s="114"/>
      <c r="U107" s="114"/>
      <c r="V107" s="114"/>
      <c r="W107" s="114"/>
      <c r="X107" s="114">
        <v>1</v>
      </c>
      <c r="Y107" s="114"/>
      <c r="Z107" s="114"/>
      <c r="AA107" s="114"/>
      <c r="AB107" s="114"/>
      <c r="AC107" s="114"/>
      <c r="AD107" s="114"/>
      <c r="AE107" s="114"/>
      <c r="AF107" s="114"/>
    </row>
    <row r="108" spans="2:32" ht="12.75" customHeight="1" x14ac:dyDescent="0.2">
      <c r="B108" s="21">
        <v>1</v>
      </c>
      <c r="D108" s="114" t="s">
        <v>438</v>
      </c>
      <c r="E108" s="114" t="s">
        <v>739</v>
      </c>
      <c r="F108" s="285">
        <v>67347</v>
      </c>
      <c r="G108" s="286"/>
      <c r="H108" s="114"/>
      <c r="I108" s="287"/>
      <c r="J108" s="289"/>
      <c r="K108" s="232" t="s">
        <v>25</v>
      </c>
      <c r="L108" s="287" t="s">
        <v>107</v>
      </c>
      <c r="M108" s="288"/>
      <c r="N108" s="212">
        <v>1</v>
      </c>
      <c r="O108" s="149">
        <f t="shared" si="6"/>
        <v>12.5</v>
      </c>
      <c r="P108" s="114">
        <f t="shared" si="5"/>
        <v>3</v>
      </c>
      <c r="Q108" s="114"/>
      <c r="R108" s="114"/>
      <c r="S108" s="114"/>
      <c r="T108" s="114"/>
      <c r="U108" s="114"/>
      <c r="V108" s="114"/>
      <c r="W108" s="114"/>
      <c r="X108" s="114">
        <v>1</v>
      </c>
      <c r="Y108" s="114"/>
      <c r="Z108" s="114"/>
      <c r="AA108" s="114"/>
      <c r="AB108" s="114"/>
      <c r="AC108" s="114"/>
      <c r="AD108" s="114"/>
      <c r="AE108" s="114"/>
      <c r="AF108" s="114"/>
    </row>
    <row r="109" spans="2:32" ht="12.75" customHeight="1" x14ac:dyDescent="0.2">
      <c r="B109" s="21">
        <v>1</v>
      </c>
      <c r="D109" s="114"/>
      <c r="E109" s="114" t="s">
        <v>739</v>
      </c>
      <c r="F109" s="285">
        <v>67347</v>
      </c>
      <c r="G109" s="286"/>
      <c r="H109" s="114"/>
      <c r="I109" s="287"/>
      <c r="J109" s="289"/>
      <c r="K109" s="232" t="s">
        <v>25</v>
      </c>
      <c r="L109" s="287" t="s">
        <v>108</v>
      </c>
      <c r="M109" s="288"/>
      <c r="N109" s="212">
        <v>1</v>
      </c>
      <c r="O109" s="149"/>
      <c r="P109" s="114">
        <f t="shared" si="5"/>
        <v>3</v>
      </c>
      <c r="Q109" s="114"/>
      <c r="R109" s="114"/>
      <c r="S109" s="114"/>
      <c r="T109" s="114"/>
      <c r="U109" s="114"/>
      <c r="V109" s="114"/>
      <c r="W109" s="114"/>
      <c r="X109" s="114">
        <v>1</v>
      </c>
      <c r="Y109" s="114"/>
      <c r="Z109" s="114"/>
      <c r="AA109" s="114"/>
      <c r="AB109" s="114"/>
      <c r="AC109" s="114"/>
      <c r="AD109" s="114"/>
      <c r="AE109" s="114"/>
      <c r="AF109" s="114"/>
    </row>
    <row r="110" spans="2:32" ht="12.75" customHeight="1" x14ac:dyDescent="0.2">
      <c r="B110" s="21">
        <v>1</v>
      </c>
      <c r="D110" s="114" t="s">
        <v>439</v>
      </c>
      <c r="E110" s="114" t="s">
        <v>739</v>
      </c>
      <c r="F110" s="285">
        <v>67467</v>
      </c>
      <c r="G110" s="286"/>
      <c r="H110" s="114"/>
      <c r="I110" s="287"/>
      <c r="J110" s="289"/>
      <c r="K110" s="232" t="s">
        <v>25</v>
      </c>
      <c r="L110" s="287" t="s">
        <v>107</v>
      </c>
      <c r="M110" s="288"/>
      <c r="N110" s="212">
        <v>1</v>
      </c>
      <c r="O110" s="149">
        <f t="shared" si="6"/>
        <v>12.5</v>
      </c>
      <c r="P110" s="114">
        <f t="shared" si="5"/>
        <v>3</v>
      </c>
      <c r="Q110" s="114"/>
      <c r="R110" s="114"/>
      <c r="S110" s="114"/>
      <c r="T110" s="114"/>
      <c r="U110" s="114"/>
      <c r="V110" s="114"/>
      <c r="W110" s="114"/>
      <c r="X110" s="114">
        <v>1</v>
      </c>
      <c r="Y110" s="114"/>
      <c r="Z110" s="114"/>
      <c r="AA110" s="114"/>
      <c r="AB110" s="114"/>
      <c r="AC110" s="114"/>
      <c r="AD110" s="114"/>
      <c r="AE110" s="114"/>
      <c r="AF110" s="114"/>
    </row>
    <row r="111" spans="2:32" ht="12.75" customHeight="1" x14ac:dyDescent="0.2">
      <c r="B111" s="21">
        <v>1</v>
      </c>
      <c r="D111" s="114"/>
      <c r="E111" s="114" t="s">
        <v>739</v>
      </c>
      <c r="F111" s="285">
        <v>67467</v>
      </c>
      <c r="G111" s="286"/>
      <c r="H111" s="114"/>
      <c r="I111" s="287"/>
      <c r="J111" s="289"/>
      <c r="K111" s="232" t="s">
        <v>25</v>
      </c>
      <c r="L111" s="287" t="s">
        <v>108</v>
      </c>
      <c r="M111" s="288"/>
      <c r="N111" s="212">
        <v>1</v>
      </c>
      <c r="O111" s="149"/>
      <c r="P111" s="114">
        <f t="shared" si="5"/>
        <v>3</v>
      </c>
      <c r="Q111" s="114"/>
      <c r="R111" s="114"/>
      <c r="S111" s="114"/>
      <c r="T111" s="114"/>
      <c r="U111" s="114"/>
      <c r="V111" s="114"/>
      <c r="W111" s="114"/>
      <c r="X111" s="114">
        <v>1</v>
      </c>
      <c r="Y111" s="114"/>
      <c r="Z111" s="114"/>
      <c r="AA111" s="114"/>
      <c r="AB111" s="114"/>
      <c r="AC111" s="114"/>
      <c r="AD111" s="114"/>
      <c r="AE111" s="114"/>
      <c r="AF111" s="114"/>
    </row>
    <row r="112" spans="2:32" ht="12.75" customHeight="1" x14ac:dyDescent="0.2">
      <c r="B112" s="21">
        <v>1</v>
      </c>
      <c r="D112" s="114" t="s">
        <v>440</v>
      </c>
      <c r="E112" s="114" t="s">
        <v>739</v>
      </c>
      <c r="F112" s="285">
        <v>67587</v>
      </c>
      <c r="G112" s="286"/>
      <c r="H112" s="114"/>
      <c r="I112" s="287"/>
      <c r="J112" s="289"/>
      <c r="K112" s="232" t="s">
        <v>25</v>
      </c>
      <c r="L112" s="287" t="s">
        <v>107</v>
      </c>
      <c r="M112" s="288"/>
      <c r="N112" s="212">
        <v>1</v>
      </c>
      <c r="O112" s="149">
        <f t="shared" si="6"/>
        <v>12.5</v>
      </c>
      <c r="P112" s="114">
        <f t="shared" si="5"/>
        <v>3</v>
      </c>
      <c r="Q112" s="114"/>
      <c r="R112" s="114"/>
      <c r="S112" s="114"/>
      <c r="T112" s="114"/>
      <c r="U112" s="114"/>
      <c r="V112" s="114"/>
      <c r="W112" s="114"/>
      <c r="X112" s="114">
        <v>1</v>
      </c>
      <c r="Y112" s="114"/>
      <c r="Z112" s="114"/>
      <c r="AA112" s="114"/>
      <c r="AB112" s="114"/>
      <c r="AC112" s="114"/>
      <c r="AD112" s="114"/>
      <c r="AE112" s="114"/>
      <c r="AF112" s="114"/>
    </row>
    <row r="113" spans="2:32" ht="12.75" customHeight="1" x14ac:dyDescent="0.2">
      <c r="B113" s="21">
        <v>1</v>
      </c>
      <c r="D113" s="114"/>
      <c r="E113" s="114" t="s">
        <v>739</v>
      </c>
      <c r="F113" s="285">
        <v>67587</v>
      </c>
      <c r="G113" s="286"/>
      <c r="H113" s="114"/>
      <c r="I113" s="287"/>
      <c r="J113" s="289"/>
      <c r="K113" s="232" t="s">
        <v>25</v>
      </c>
      <c r="L113" s="287" t="s">
        <v>108</v>
      </c>
      <c r="M113" s="288"/>
      <c r="N113" s="212">
        <v>1</v>
      </c>
      <c r="O113" s="149"/>
      <c r="P113" s="114">
        <f t="shared" si="5"/>
        <v>3</v>
      </c>
      <c r="Q113" s="114"/>
      <c r="R113" s="114"/>
      <c r="S113" s="114"/>
      <c r="T113" s="114"/>
      <c r="U113" s="114"/>
      <c r="V113" s="114"/>
      <c r="W113" s="114"/>
      <c r="X113" s="114">
        <v>1</v>
      </c>
      <c r="Y113" s="114"/>
      <c r="Z113" s="114"/>
      <c r="AA113" s="114"/>
      <c r="AB113" s="114"/>
      <c r="AC113" s="114"/>
      <c r="AD113" s="114"/>
      <c r="AE113" s="114"/>
      <c r="AF113" s="114"/>
    </row>
    <row r="114" spans="2:32" ht="12.75" customHeight="1" x14ac:dyDescent="0.2">
      <c r="B114" s="21"/>
      <c r="D114" s="114"/>
      <c r="E114" s="114"/>
      <c r="F114" s="147"/>
      <c r="G114" s="148"/>
      <c r="H114" s="114"/>
      <c r="I114" s="156"/>
      <c r="J114" s="164"/>
      <c r="K114" s="232"/>
      <c r="L114" s="156"/>
      <c r="M114" s="157"/>
      <c r="N114" s="212"/>
      <c r="O114" s="149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</row>
    <row r="115" spans="2:32" ht="12.75" customHeight="1" x14ac:dyDescent="0.2">
      <c r="B115" s="21">
        <v>1</v>
      </c>
      <c r="C115" s="5">
        <f>900+18</f>
        <v>918</v>
      </c>
      <c r="D115" s="114" t="s">
        <v>441</v>
      </c>
      <c r="E115" s="114" t="s">
        <v>740</v>
      </c>
      <c r="F115" s="285">
        <v>67707</v>
      </c>
      <c r="G115" s="286"/>
      <c r="H115" s="114"/>
      <c r="I115" s="287"/>
      <c r="J115" s="289"/>
      <c r="K115" s="232" t="s">
        <v>25</v>
      </c>
      <c r="L115" s="287" t="s">
        <v>107</v>
      </c>
      <c r="M115" s="288"/>
      <c r="N115" s="212">
        <v>1</v>
      </c>
      <c r="O115" s="149">
        <f t="shared" si="6"/>
        <v>12.5</v>
      </c>
      <c r="P115" s="114">
        <f t="shared" si="5"/>
        <v>3</v>
      </c>
      <c r="Q115" s="114"/>
      <c r="R115" s="114"/>
      <c r="S115" s="114"/>
      <c r="T115" s="114"/>
      <c r="U115" s="114"/>
      <c r="V115" s="114"/>
      <c r="W115" s="114"/>
      <c r="X115" s="114">
        <v>1</v>
      </c>
      <c r="Y115" s="114"/>
      <c r="Z115" s="114"/>
      <c r="AA115" s="114"/>
      <c r="AB115" s="114"/>
      <c r="AC115" s="114"/>
      <c r="AD115" s="114"/>
      <c r="AE115" s="114"/>
      <c r="AF115" s="114"/>
    </row>
    <row r="116" spans="2:32" ht="12.75" customHeight="1" x14ac:dyDescent="0.2">
      <c r="B116" s="21">
        <v>1</v>
      </c>
      <c r="D116" s="114"/>
      <c r="E116" s="114" t="s">
        <v>740</v>
      </c>
      <c r="F116" s="285">
        <v>67707</v>
      </c>
      <c r="G116" s="286"/>
      <c r="H116" s="114"/>
      <c r="I116" s="287"/>
      <c r="J116" s="289"/>
      <c r="K116" s="232" t="s">
        <v>25</v>
      </c>
      <c r="L116" s="287" t="s">
        <v>108</v>
      </c>
      <c r="M116" s="288"/>
      <c r="N116" s="212">
        <v>1</v>
      </c>
      <c r="O116" s="149"/>
      <c r="P116" s="114">
        <f t="shared" si="5"/>
        <v>3</v>
      </c>
      <c r="Q116" s="114"/>
      <c r="R116" s="114"/>
      <c r="S116" s="114"/>
      <c r="T116" s="114"/>
      <c r="U116" s="114"/>
      <c r="V116" s="114"/>
      <c r="W116" s="114"/>
      <c r="X116" s="114">
        <v>1</v>
      </c>
      <c r="Y116" s="114"/>
      <c r="Z116" s="114"/>
      <c r="AA116" s="114"/>
      <c r="AB116" s="114"/>
      <c r="AC116" s="114"/>
      <c r="AD116" s="114"/>
      <c r="AE116" s="114"/>
      <c r="AF116" s="114"/>
    </row>
    <row r="117" spans="2:32" ht="12.75" customHeight="1" x14ac:dyDescent="0.2">
      <c r="B117" s="21">
        <v>1</v>
      </c>
      <c r="D117" s="114" t="s">
        <v>442</v>
      </c>
      <c r="E117" s="114" t="s">
        <v>740</v>
      </c>
      <c r="F117" s="285">
        <v>67827</v>
      </c>
      <c r="G117" s="286"/>
      <c r="H117" s="114"/>
      <c r="I117" s="287"/>
      <c r="J117" s="289"/>
      <c r="K117" s="232" t="s">
        <v>25</v>
      </c>
      <c r="L117" s="287" t="s">
        <v>107</v>
      </c>
      <c r="M117" s="288"/>
      <c r="N117" s="212">
        <v>1</v>
      </c>
      <c r="O117" s="149">
        <f t="shared" si="6"/>
        <v>12.5</v>
      </c>
      <c r="P117" s="114">
        <f t="shared" si="5"/>
        <v>3</v>
      </c>
      <c r="Q117" s="114"/>
      <c r="R117" s="114"/>
      <c r="S117" s="114"/>
      <c r="T117" s="114"/>
      <c r="U117" s="114"/>
      <c r="V117" s="114"/>
      <c r="W117" s="114"/>
      <c r="X117" s="114">
        <v>1</v>
      </c>
      <c r="Y117" s="114"/>
      <c r="Z117" s="114"/>
      <c r="AA117" s="114"/>
      <c r="AB117" s="114"/>
      <c r="AC117" s="114"/>
      <c r="AD117" s="114"/>
      <c r="AE117" s="114"/>
      <c r="AF117" s="114"/>
    </row>
    <row r="118" spans="2:32" ht="12.75" customHeight="1" x14ac:dyDescent="0.2">
      <c r="B118" s="21">
        <v>1</v>
      </c>
      <c r="D118" s="114"/>
      <c r="E118" s="114" t="s">
        <v>740</v>
      </c>
      <c r="F118" s="285">
        <v>67827</v>
      </c>
      <c r="G118" s="286"/>
      <c r="H118" s="114"/>
      <c r="I118" s="287"/>
      <c r="J118" s="289"/>
      <c r="K118" s="232" t="s">
        <v>25</v>
      </c>
      <c r="L118" s="287" t="s">
        <v>108</v>
      </c>
      <c r="M118" s="288"/>
      <c r="N118" s="212">
        <v>1</v>
      </c>
      <c r="O118" s="149"/>
      <c r="P118" s="114">
        <f t="shared" si="5"/>
        <v>3</v>
      </c>
      <c r="Q118" s="114"/>
      <c r="R118" s="114"/>
      <c r="S118" s="114"/>
      <c r="T118" s="114"/>
      <c r="U118" s="114"/>
      <c r="V118" s="114"/>
      <c r="W118" s="114"/>
      <c r="X118" s="114">
        <v>1</v>
      </c>
      <c r="Y118" s="114"/>
      <c r="Z118" s="114"/>
      <c r="AA118" s="114"/>
      <c r="AB118" s="114"/>
      <c r="AC118" s="114"/>
      <c r="AD118" s="114"/>
      <c r="AE118" s="114"/>
      <c r="AF118" s="114"/>
    </row>
    <row r="119" spans="2:32" ht="12.75" customHeight="1" x14ac:dyDescent="0.2">
      <c r="B119" s="21">
        <v>1</v>
      </c>
      <c r="D119" s="114" t="s">
        <v>443</v>
      </c>
      <c r="E119" s="114" t="s">
        <v>740</v>
      </c>
      <c r="F119" s="285">
        <v>67946</v>
      </c>
      <c r="G119" s="286"/>
      <c r="H119" s="114"/>
      <c r="I119" s="287"/>
      <c r="J119" s="289"/>
      <c r="K119" s="232" t="s">
        <v>25</v>
      </c>
      <c r="L119" s="287" t="s">
        <v>107</v>
      </c>
      <c r="M119" s="288"/>
      <c r="N119" s="212">
        <v>1</v>
      </c>
      <c r="O119" s="149">
        <f t="shared" si="6"/>
        <v>12.5</v>
      </c>
      <c r="P119" s="114">
        <f t="shared" si="5"/>
        <v>3</v>
      </c>
      <c r="Q119" s="155"/>
      <c r="R119" s="155"/>
      <c r="S119" s="155"/>
      <c r="T119" s="155"/>
      <c r="U119" s="155"/>
      <c r="V119" s="155"/>
      <c r="W119" s="155"/>
      <c r="X119" s="155">
        <v>1</v>
      </c>
      <c r="Y119" s="155"/>
      <c r="Z119" s="155"/>
      <c r="AA119" s="155"/>
      <c r="AB119" s="155"/>
      <c r="AC119" s="155"/>
      <c r="AD119" s="155"/>
      <c r="AE119" s="155"/>
      <c r="AF119" s="155"/>
    </row>
    <row r="120" spans="2:32" ht="12.75" customHeight="1" x14ac:dyDescent="0.2">
      <c r="B120" s="21">
        <v>1</v>
      </c>
      <c r="D120" s="114"/>
      <c r="E120" s="114" t="s">
        <v>740</v>
      </c>
      <c r="F120" s="285">
        <v>67946</v>
      </c>
      <c r="G120" s="286"/>
      <c r="H120" s="114"/>
      <c r="I120" s="287"/>
      <c r="J120" s="289"/>
      <c r="K120" s="232" t="s">
        <v>25</v>
      </c>
      <c r="L120" s="287" t="s">
        <v>108</v>
      </c>
      <c r="M120" s="288"/>
      <c r="N120" s="212">
        <v>1</v>
      </c>
      <c r="O120" s="149"/>
      <c r="P120" s="114">
        <f t="shared" si="5"/>
        <v>3</v>
      </c>
      <c r="Q120" s="114"/>
      <c r="R120" s="114"/>
      <c r="S120" s="114"/>
      <c r="T120" s="114"/>
      <c r="U120" s="114"/>
      <c r="V120" s="114"/>
      <c r="W120" s="114"/>
      <c r="X120" s="114">
        <v>1</v>
      </c>
      <c r="Y120" s="114"/>
      <c r="Z120" s="114"/>
      <c r="AA120" s="114"/>
      <c r="AB120" s="114"/>
      <c r="AC120" s="114"/>
      <c r="AD120" s="114"/>
      <c r="AE120" s="114"/>
      <c r="AF120" s="114"/>
    </row>
    <row r="121" spans="2:32" ht="12.75" customHeight="1" x14ac:dyDescent="0.2">
      <c r="B121" s="21">
        <v>1</v>
      </c>
      <c r="D121" s="114" t="s">
        <v>444</v>
      </c>
      <c r="E121" s="114" t="s">
        <v>740</v>
      </c>
      <c r="F121" s="285">
        <v>68066</v>
      </c>
      <c r="G121" s="286"/>
      <c r="H121" s="114"/>
      <c r="I121" s="287"/>
      <c r="J121" s="289"/>
      <c r="K121" s="232" t="s">
        <v>25</v>
      </c>
      <c r="L121" s="287" t="s">
        <v>107</v>
      </c>
      <c r="M121" s="288"/>
      <c r="N121" s="212">
        <v>1</v>
      </c>
      <c r="O121" s="149">
        <f t="shared" si="6"/>
        <v>12.5</v>
      </c>
      <c r="P121" s="114">
        <f t="shared" si="5"/>
        <v>3</v>
      </c>
      <c r="Q121" s="114"/>
      <c r="R121" s="114"/>
      <c r="S121" s="114"/>
      <c r="T121" s="114"/>
      <c r="U121" s="114"/>
      <c r="V121" s="114"/>
      <c r="W121" s="114"/>
      <c r="X121" s="114">
        <v>1</v>
      </c>
      <c r="Y121" s="114"/>
      <c r="Z121" s="114"/>
      <c r="AA121" s="114"/>
      <c r="AB121" s="114"/>
      <c r="AC121" s="114"/>
      <c r="AD121" s="114"/>
      <c r="AE121" s="114"/>
      <c r="AF121" s="114"/>
    </row>
    <row r="122" spans="2:32" ht="12.75" customHeight="1" x14ac:dyDescent="0.2">
      <c r="B122" s="21">
        <v>1</v>
      </c>
      <c r="D122" s="114"/>
      <c r="E122" s="114" t="s">
        <v>740</v>
      </c>
      <c r="F122" s="285">
        <v>68066</v>
      </c>
      <c r="G122" s="286"/>
      <c r="H122" s="114"/>
      <c r="I122" s="287"/>
      <c r="J122" s="289"/>
      <c r="K122" s="232" t="s">
        <v>25</v>
      </c>
      <c r="L122" s="287" t="s">
        <v>108</v>
      </c>
      <c r="M122" s="288"/>
      <c r="N122" s="212">
        <v>1</v>
      </c>
      <c r="O122" s="149"/>
      <c r="P122" s="114">
        <f t="shared" si="5"/>
        <v>3</v>
      </c>
      <c r="Q122" s="114"/>
      <c r="R122" s="114"/>
      <c r="S122" s="114"/>
      <c r="T122" s="114"/>
      <c r="U122" s="114"/>
      <c r="V122" s="114"/>
      <c r="W122" s="114"/>
      <c r="X122" s="114">
        <v>1</v>
      </c>
      <c r="Y122" s="114"/>
      <c r="Z122" s="114"/>
      <c r="AA122" s="114"/>
      <c r="AB122" s="114"/>
      <c r="AC122" s="114"/>
      <c r="AD122" s="114"/>
      <c r="AE122" s="114"/>
      <c r="AF122" s="114"/>
    </row>
    <row r="123" spans="2:32" ht="12.75" customHeight="1" x14ac:dyDescent="0.2">
      <c r="B123" s="21">
        <v>1</v>
      </c>
      <c r="D123" s="114" t="s">
        <v>445</v>
      </c>
      <c r="E123" s="114" t="s">
        <v>740</v>
      </c>
      <c r="F123" s="285">
        <v>67852</v>
      </c>
      <c r="G123" s="286"/>
      <c r="H123" s="114"/>
      <c r="I123" s="287"/>
      <c r="J123" s="289"/>
      <c r="K123" s="232" t="s">
        <v>24</v>
      </c>
      <c r="L123" s="287" t="s">
        <v>114</v>
      </c>
      <c r="M123" s="288"/>
      <c r="N123" s="212">
        <v>1</v>
      </c>
      <c r="O123" s="149">
        <v>17.5</v>
      </c>
      <c r="P123" s="114">
        <f>3*3</f>
        <v>9</v>
      </c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</row>
    <row r="124" spans="2:32" ht="12.75" customHeight="1" x14ac:dyDescent="0.2">
      <c r="B124" s="21">
        <v>1</v>
      </c>
      <c r="D124" s="114"/>
      <c r="E124" s="114" t="s">
        <v>740</v>
      </c>
      <c r="F124" s="285">
        <v>67852</v>
      </c>
      <c r="G124" s="286"/>
      <c r="H124" s="114"/>
      <c r="I124" s="287"/>
      <c r="J124" s="289"/>
      <c r="K124" s="232" t="s">
        <v>24</v>
      </c>
      <c r="L124" s="287" t="s">
        <v>131</v>
      </c>
      <c r="M124" s="288"/>
      <c r="N124" s="212">
        <v>1</v>
      </c>
      <c r="O124" s="149"/>
      <c r="P124" s="114">
        <f>3*1</f>
        <v>3</v>
      </c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</row>
    <row r="125" spans="2:32" ht="12.75" customHeight="1" x14ac:dyDescent="0.2">
      <c r="B125" s="21">
        <v>1</v>
      </c>
      <c r="D125" s="114"/>
      <c r="E125" s="114" t="s">
        <v>740</v>
      </c>
      <c r="F125" s="285">
        <v>67852</v>
      </c>
      <c r="G125" s="286"/>
      <c r="H125" s="114"/>
      <c r="I125" s="287"/>
      <c r="J125" s="289"/>
      <c r="K125" s="232" t="s">
        <v>24</v>
      </c>
      <c r="L125" s="287" t="s">
        <v>116</v>
      </c>
      <c r="M125" s="288"/>
      <c r="N125" s="212">
        <v>1</v>
      </c>
      <c r="O125" s="149"/>
      <c r="P125" s="114">
        <f>1.5*1.5</f>
        <v>2.25</v>
      </c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</row>
    <row r="126" spans="2:32" ht="12.75" customHeight="1" x14ac:dyDescent="0.2">
      <c r="B126" s="21">
        <v>1</v>
      </c>
      <c r="D126" s="114" t="s">
        <v>446</v>
      </c>
      <c r="E126" s="114" t="s">
        <v>740</v>
      </c>
      <c r="F126" s="285">
        <v>68078</v>
      </c>
      <c r="G126" s="286"/>
      <c r="H126" s="114"/>
      <c r="I126" s="287"/>
      <c r="J126" s="289"/>
      <c r="K126" s="232" t="s">
        <v>24</v>
      </c>
      <c r="L126" s="287" t="s">
        <v>117</v>
      </c>
      <c r="M126" s="288"/>
      <c r="N126" s="212">
        <v>1</v>
      </c>
      <c r="O126" s="149">
        <f>3.5+7+4.5</f>
        <v>15</v>
      </c>
      <c r="P126" s="114">
        <f>3*3</f>
        <v>9</v>
      </c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</row>
    <row r="127" spans="2:32" ht="12.75" customHeight="1" x14ac:dyDescent="0.2">
      <c r="B127" s="21">
        <v>1</v>
      </c>
      <c r="D127" s="114" t="s">
        <v>566</v>
      </c>
      <c r="E127" s="114" t="s">
        <v>740</v>
      </c>
      <c r="F127" s="285">
        <v>68112</v>
      </c>
      <c r="G127" s="286"/>
      <c r="H127" s="114"/>
      <c r="I127" s="287"/>
      <c r="J127" s="289"/>
      <c r="K127" s="232" t="s">
        <v>25</v>
      </c>
      <c r="L127" s="287" t="s">
        <v>130</v>
      </c>
      <c r="M127" s="288"/>
      <c r="N127" s="212">
        <v>1</v>
      </c>
      <c r="O127" s="149">
        <v>26</v>
      </c>
      <c r="P127" s="114">
        <v>10</v>
      </c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</row>
    <row r="128" spans="2:32" ht="12.75" customHeight="1" x14ac:dyDescent="0.2">
      <c r="B128" s="21"/>
      <c r="D128" s="114"/>
      <c r="E128" s="114"/>
      <c r="F128" s="147"/>
      <c r="G128" s="148"/>
      <c r="H128" s="114"/>
      <c r="I128" s="156"/>
      <c r="J128" s="164"/>
      <c r="K128" s="232"/>
      <c r="L128" s="156"/>
      <c r="M128" s="157"/>
      <c r="N128" s="212"/>
      <c r="O128" s="149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</row>
    <row r="129" spans="2:32" ht="12.75" customHeight="1" x14ac:dyDescent="0.2">
      <c r="B129" s="21">
        <v>1</v>
      </c>
      <c r="C129" s="5">
        <f>901+18</f>
        <v>919</v>
      </c>
      <c r="D129" s="114" t="s">
        <v>447</v>
      </c>
      <c r="E129" s="114" t="s">
        <v>741</v>
      </c>
      <c r="F129" s="285">
        <v>68206</v>
      </c>
      <c r="G129" s="286"/>
      <c r="H129" s="114"/>
      <c r="I129" s="287"/>
      <c r="J129" s="289"/>
      <c r="K129" s="232" t="s">
        <v>25</v>
      </c>
      <c r="L129" s="287" t="s">
        <v>108</v>
      </c>
      <c r="M129" s="288"/>
      <c r="N129" s="212">
        <v>1</v>
      </c>
      <c r="O129" s="149">
        <f>3.5+7+2</f>
        <v>12.5</v>
      </c>
      <c r="P129" s="114">
        <f>1.5*2</f>
        <v>3</v>
      </c>
      <c r="Q129" s="114"/>
      <c r="R129" s="114"/>
      <c r="S129" s="114"/>
      <c r="T129" s="114"/>
      <c r="U129" s="114"/>
      <c r="V129" s="114"/>
      <c r="W129" s="114"/>
      <c r="X129" s="114">
        <v>1</v>
      </c>
      <c r="Y129" s="114"/>
      <c r="Z129" s="114"/>
      <c r="AA129" s="114"/>
      <c r="AB129" s="114"/>
      <c r="AC129" s="114"/>
      <c r="AD129" s="114"/>
      <c r="AE129" s="114"/>
      <c r="AF129" s="114"/>
    </row>
    <row r="130" spans="2:32" ht="12.75" customHeight="1" x14ac:dyDescent="0.2">
      <c r="B130" s="21">
        <v>1</v>
      </c>
      <c r="D130" s="114"/>
      <c r="E130" s="114" t="s">
        <v>741</v>
      </c>
      <c r="F130" s="285">
        <v>68206</v>
      </c>
      <c r="G130" s="286"/>
      <c r="H130" s="139"/>
      <c r="I130" s="287"/>
      <c r="J130" s="289"/>
      <c r="K130" s="232" t="s">
        <v>25</v>
      </c>
      <c r="L130" s="287" t="s">
        <v>107</v>
      </c>
      <c r="M130" s="288"/>
      <c r="N130" s="212">
        <v>1</v>
      </c>
      <c r="O130" s="149"/>
      <c r="P130" s="114">
        <f>1.5*2</f>
        <v>3</v>
      </c>
      <c r="Q130" s="114"/>
      <c r="R130" s="114"/>
      <c r="S130" s="114"/>
      <c r="T130" s="114"/>
      <c r="U130" s="114"/>
      <c r="V130" s="114"/>
      <c r="W130" s="114"/>
      <c r="X130" s="114">
        <v>1</v>
      </c>
      <c r="Y130" s="114"/>
      <c r="Z130" s="114"/>
      <c r="AA130" s="114"/>
      <c r="AB130" s="114"/>
      <c r="AC130" s="114"/>
      <c r="AD130" s="114"/>
      <c r="AE130" s="114"/>
      <c r="AF130" s="114"/>
    </row>
    <row r="131" spans="2:32" ht="12.75" customHeight="1" x14ac:dyDescent="0.2">
      <c r="B131" s="21">
        <v>1</v>
      </c>
      <c r="D131" s="114" t="s">
        <v>448</v>
      </c>
      <c r="E131" s="114" t="s">
        <v>741</v>
      </c>
      <c r="F131" s="315">
        <v>68195</v>
      </c>
      <c r="G131" s="315"/>
      <c r="H131" s="139"/>
      <c r="I131" s="287"/>
      <c r="J131" s="289"/>
      <c r="K131" s="232" t="s">
        <v>35</v>
      </c>
      <c r="L131" s="287"/>
      <c r="M131" s="288"/>
      <c r="N131" s="212">
        <v>1</v>
      </c>
      <c r="O131" s="149"/>
      <c r="P131" s="114"/>
      <c r="Q131" s="114"/>
      <c r="R131" s="114"/>
      <c r="S131" s="114"/>
      <c r="T131" s="114">
        <v>1</v>
      </c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</row>
    <row r="132" spans="2:32" ht="12.75" customHeight="1" x14ac:dyDescent="0.2">
      <c r="B132" s="21">
        <v>1</v>
      </c>
      <c r="D132" s="114" t="s">
        <v>449</v>
      </c>
      <c r="E132" s="114" t="s">
        <v>741</v>
      </c>
      <c r="F132" s="285">
        <v>68286</v>
      </c>
      <c r="G132" s="286"/>
      <c r="H132" s="139"/>
      <c r="I132" s="156"/>
      <c r="J132" s="164"/>
      <c r="K132" s="232" t="s">
        <v>25</v>
      </c>
      <c r="L132" s="287" t="s">
        <v>106</v>
      </c>
      <c r="M132" s="288"/>
      <c r="N132" s="212">
        <v>1</v>
      </c>
      <c r="O132" s="149">
        <f>3.5+7+4.5</f>
        <v>15</v>
      </c>
      <c r="P132" s="114">
        <f>3*3</f>
        <v>9</v>
      </c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</row>
    <row r="133" spans="2:32" ht="12.75" customHeight="1" x14ac:dyDescent="0.2">
      <c r="B133" s="21">
        <v>1</v>
      </c>
      <c r="D133" s="114" t="s">
        <v>450</v>
      </c>
      <c r="E133" s="114" t="s">
        <v>741</v>
      </c>
      <c r="F133" s="285" t="s">
        <v>120</v>
      </c>
      <c r="G133" s="286"/>
      <c r="H133" s="114"/>
      <c r="I133" s="156"/>
      <c r="J133" s="164"/>
      <c r="K133" s="232" t="s">
        <v>25</v>
      </c>
      <c r="L133" s="287" t="s">
        <v>121</v>
      </c>
      <c r="M133" s="288"/>
      <c r="N133" s="212">
        <v>1</v>
      </c>
      <c r="O133" s="149">
        <f>3.5+7+2.5+2+2+1</f>
        <v>18</v>
      </c>
      <c r="P133" s="114">
        <f>2*1</f>
        <v>2</v>
      </c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</row>
    <row r="134" spans="2:32" ht="12.75" customHeight="1" x14ac:dyDescent="0.2">
      <c r="B134" s="21">
        <v>1</v>
      </c>
      <c r="D134" s="114"/>
      <c r="E134" s="114" t="s">
        <v>741</v>
      </c>
      <c r="F134" s="285" t="s">
        <v>120</v>
      </c>
      <c r="G134" s="286"/>
      <c r="H134" s="114"/>
      <c r="I134" s="156"/>
      <c r="J134" s="164"/>
      <c r="K134" s="232" t="s">
        <v>25</v>
      </c>
      <c r="L134" s="287" t="s">
        <v>669</v>
      </c>
      <c r="M134" s="288"/>
      <c r="N134" s="230">
        <v>1</v>
      </c>
      <c r="O134" s="149"/>
      <c r="P134" s="114">
        <f>2*2</f>
        <v>4</v>
      </c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</row>
    <row r="135" spans="2:32" ht="12.75" customHeight="1" x14ac:dyDescent="0.2">
      <c r="B135" s="21">
        <v>1</v>
      </c>
      <c r="D135" s="114"/>
      <c r="E135" s="114" t="s">
        <v>741</v>
      </c>
      <c r="F135" s="285" t="s">
        <v>120</v>
      </c>
      <c r="G135" s="286"/>
      <c r="H135" s="114"/>
      <c r="I135" s="156"/>
      <c r="J135" s="164"/>
      <c r="K135" s="232" t="s">
        <v>25</v>
      </c>
      <c r="L135" s="287" t="s">
        <v>123</v>
      </c>
      <c r="M135" s="288"/>
      <c r="N135" s="212">
        <v>1</v>
      </c>
      <c r="O135" s="149"/>
      <c r="P135" s="114">
        <f>2*2</f>
        <v>4</v>
      </c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</row>
    <row r="136" spans="2:32" ht="12.75" customHeight="1" x14ac:dyDescent="0.2">
      <c r="B136" s="21">
        <v>1</v>
      </c>
      <c r="D136" s="114"/>
      <c r="E136" s="114" t="s">
        <v>741</v>
      </c>
      <c r="F136" s="285" t="s">
        <v>120</v>
      </c>
      <c r="G136" s="286"/>
      <c r="H136" s="114"/>
      <c r="I136" s="156"/>
      <c r="J136" s="164"/>
      <c r="K136" s="232" t="s">
        <v>25</v>
      </c>
      <c r="L136" s="287" t="s">
        <v>124</v>
      </c>
      <c r="M136" s="288"/>
      <c r="N136" s="212">
        <v>1</v>
      </c>
      <c r="O136" s="149"/>
      <c r="P136" s="114">
        <f>2*2.5</f>
        <v>5</v>
      </c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</row>
    <row r="137" spans="2:32" ht="12.75" customHeight="1" x14ac:dyDescent="0.2">
      <c r="B137" s="21">
        <v>1</v>
      </c>
      <c r="D137" s="114" t="s">
        <v>451</v>
      </c>
      <c r="E137" s="114" t="s">
        <v>741</v>
      </c>
      <c r="F137" s="285">
        <v>68387</v>
      </c>
      <c r="G137" s="286"/>
      <c r="H137" s="114"/>
      <c r="I137" s="156"/>
      <c r="J137" s="164"/>
      <c r="K137" s="232" t="s">
        <v>25</v>
      </c>
      <c r="L137" s="287" t="s">
        <v>121</v>
      </c>
      <c r="M137" s="288"/>
      <c r="N137" s="212">
        <v>1</v>
      </c>
      <c r="O137" s="149">
        <f>3.5+7+1+2+1.25</f>
        <v>14.75</v>
      </c>
      <c r="P137" s="114">
        <f>2*1</f>
        <v>2</v>
      </c>
      <c r="Q137" s="114"/>
      <c r="R137" s="114"/>
      <c r="S137" s="114"/>
      <c r="T137" s="114"/>
      <c r="U137" s="114"/>
      <c r="V137" s="114"/>
      <c r="W137" s="114">
        <v>1</v>
      </c>
      <c r="X137" s="114"/>
      <c r="Y137" s="114"/>
      <c r="Z137" s="114"/>
      <c r="AA137" s="114"/>
      <c r="AB137" s="114"/>
      <c r="AC137" s="114"/>
      <c r="AD137" s="114"/>
      <c r="AE137" s="114"/>
      <c r="AF137" s="114"/>
    </row>
    <row r="138" spans="2:32" ht="12.75" customHeight="1" x14ac:dyDescent="0.2">
      <c r="B138" s="21">
        <v>1</v>
      </c>
      <c r="D138" s="114"/>
      <c r="E138" s="114" t="s">
        <v>741</v>
      </c>
      <c r="F138" s="285">
        <v>68387</v>
      </c>
      <c r="G138" s="286"/>
      <c r="H138" s="114"/>
      <c r="I138" s="156"/>
      <c r="J138" s="164"/>
      <c r="K138" s="232" t="s">
        <v>25</v>
      </c>
      <c r="L138" s="287" t="s">
        <v>669</v>
      </c>
      <c r="M138" s="288"/>
      <c r="N138" s="212">
        <v>1</v>
      </c>
      <c r="O138" s="149"/>
      <c r="P138" s="114">
        <f>2*2</f>
        <v>4</v>
      </c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</row>
    <row r="139" spans="2:32" ht="12.75" customHeight="1" x14ac:dyDescent="0.2">
      <c r="B139" s="21">
        <v>1</v>
      </c>
      <c r="D139" s="114"/>
      <c r="E139" s="114" t="s">
        <v>741</v>
      </c>
      <c r="F139" s="285">
        <v>68387</v>
      </c>
      <c r="G139" s="286"/>
      <c r="H139" s="114"/>
      <c r="I139" s="156"/>
      <c r="J139" s="164"/>
      <c r="K139" s="232" t="s">
        <v>25</v>
      </c>
      <c r="L139" s="287" t="s">
        <v>125</v>
      </c>
      <c r="M139" s="288"/>
      <c r="N139" s="216">
        <v>1</v>
      </c>
      <c r="O139" s="149"/>
      <c r="P139" s="110">
        <f>1.75*1.25</f>
        <v>2.1875</v>
      </c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</row>
    <row r="140" spans="2:32" ht="12.75" customHeight="1" x14ac:dyDescent="0.2">
      <c r="B140" s="21">
        <v>1</v>
      </c>
      <c r="D140" s="114" t="s">
        <v>452</v>
      </c>
      <c r="E140" s="114" t="s">
        <v>741</v>
      </c>
      <c r="F140" s="285">
        <v>68494</v>
      </c>
      <c r="G140" s="286"/>
      <c r="H140" s="114"/>
      <c r="I140" s="156"/>
      <c r="J140" s="164"/>
      <c r="K140" s="232" t="s">
        <v>25</v>
      </c>
      <c r="L140" s="287" t="s">
        <v>698</v>
      </c>
      <c r="M140" s="288"/>
      <c r="N140" s="212">
        <v>1</v>
      </c>
      <c r="O140" s="149">
        <f>(3.5+7+1)</f>
        <v>11.5</v>
      </c>
      <c r="P140" s="114">
        <f>3*1</f>
        <v>3</v>
      </c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</row>
    <row r="141" spans="2:32" ht="12.75" customHeight="1" x14ac:dyDescent="0.2">
      <c r="B141" s="21">
        <v>1</v>
      </c>
      <c r="D141" s="114" t="s">
        <v>453</v>
      </c>
      <c r="E141" s="114" t="s">
        <v>741</v>
      </c>
      <c r="F141" s="285">
        <v>68550</v>
      </c>
      <c r="G141" s="286"/>
      <c r="H141" s="114"/>
      <c r="I141" s="156"/>
      <c r="J141" s="164"/>
      <c r="K141" s="232" t="s">
        <v>25</v>
      </c>
      <c r="L141" s="287" t="s">
        <v>127</v>
      </c>
      <c r="M141" s="288"/>
      <c r="N141" s="212">
        <v>1</v>
      </c>
      <c r="O141" s="149">
        <f>3.5+7+2.75</f>
        <v>13.25</v>
      </c>
      <c r="P141" s="114">
        <f>4</f>
        <v>4</v>
      </c>
      <c r="Q141" s="114"/>
      <c r="R141" s="114"/>
      <c r="S141" s="114"/>
      <c r="T141" s="114"/>
      <c r="U141" s="114"/>
      <c r="V141" s="114"/>
      <c r="W141" s="114"/>
      <c r="X141" s="114">
        <v>1</v>
      </c>
      <c r="Y141" s="114"/>
      <c r="Z141" s="114"/>
      <c r="AA141" s="114"/>
      <c r="AB141" s="114"/>
      <c r="AC141" s="114"/>
      <c r="AD141" s="114"/>
      <c r="AE141" s="114"/>
      <c r="AF141" s="114"/>
    </row>
    <row r="142" spans="2:32" ht="12.75" customHeight="1" x14ac:dyDescent="0.2">
      <c r="B142" s="21">
        <v>1</v>
      </c>
      <c r="D142" s="114" t="s">
        <v>454</v>
      </c>
      <c r="E142" s="114" t="s">
        <v>741</v>
      </c>
      <c r="F142" s="285">
        <v>68380</v>
      </c>
      <c r="G142" s="286"/>
      <c r="H142" s="114"/>
      <c r="I142" s="156"/>
      <c r="J142" s="164"/>
      <c r="K142" s="232" t="s">
        <v>24</v>
      </c>
      <c r="L142" s="287" t="s">
        <v>127</v>
      </c>
      <c r="M142" s="288"/>
      <c r="N142" s="212">
        <v>1</v>
      </c>
      <c r="O142" s="149">
        <f>3.5+7+2.75</f>
        <v>13.25</v>
      </c>
      <c r="P142" s="114">
        <f>4</f>
        <v>4</v>
      </c>
      <c r="Q142" s="114"/>
      <c r="R142" s="114"/>
      <c r="S142" s="114"/>
      <c r="T142" s="114"/>
      <c r="U142" s="114"/>
      <c r="V142" s="114"/>
      <c r="W142" s="114"/>
      <c r="X142" s="114">
        <v>1</v>
      </c>
      <c r="Y142" s="114"/>
      <c r="Z142" s="114"/>
      <c r="AA142" s="114"/>
      <c r="AB142" s="114"/>
      <c r="AC142" s="114"/>
      <c r="AD142" s="114"/>
      <c r="AE142" s="114"/>
      <c r="AF142" s="114"/>
    </row>
    <row r="143" spans="2:32" ht="12.75" customHeight="1" x14ac:dyDescent="0.2">
      <c r="B143" s="21">
        <v>1</v>
      </c>
      <c r="D143" s="114" t="s">
        <v>455</v>
      </c>
      <c r="E143" s="114" t="s">
        <v>741</v>
      </c>
      <c r="F143" s="285">
        <v>68434</v>
      </c>
      <c r="G143" s="286"/>
      <c r="H143" s="114"/>
      <c r="I143" s="156"/>
      <c r="J143" s="164"/>
      <c r="K143" s="232" t="s">
        <v>24</v>
      </c>
      <c r="L143" s="287" t="s">
        <v>698</v>
      </c>
      <c r="M143" s="288"/>
      <c r="N143" s="212">
        <v>1</v>
      </c>
      <c r="O143" s="149">
        <f>(3.5+7+1)</f>
        <v>11.5</v>
      </c>
      <c r="P143" s="114">
        <f>3*1</f>
        <v>3</v>
      </c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</row>
    <row r="144" spans="2:32" ht="12.75" customHeight="1" x14ac:dyDescent="0.2">
      <c r="B144" s="21">
        <v>1</v>
      </c>
      <c r="D144" s="162" t="s">
        <v>456</v>
      </c>
      <c r="E144" s="114" t="s">
        <v>741</v>
      </c>
      <c r="F144" s="285">
        <v>5170</v>
      </c>
      <c r="G144" s="286"/>
      <c r="H144" s="155"/>
      <c r="I144" s="156"/>
      <c r="J144" s="164"/>
      <c r="K144" s="235" t="s">
        <v>24</v>
      </c>
      <c r="L144" s="287" t="s">
        <v>128</v>
      </c>
      <c r="M144" s="288"/>
      <c r="N144" s="212">
        <v>1</v>
      </c>
      <c r="O144" s="154">
        <f>(3.5+7+1)*2</f>
        <v>23</v>
      </c>
      <c r="P144" s="155">
        <f>6*1</f>
        <v>6</v>
      </c>
      <c r="Q144" s="155"/>
      <c r="R144" s="155"/>
      <c r="S144" s="114"/>
      <c r="T144" s="114"/>
      <c r="U144" s="114"/>
      <c r="V144" s="114"/>
      <c r="W144" s="114">
        <v>2</v>
      </c>
      <c r="X144" s="114"/>
      <c r="Y144" s="114"/>
      <c r="Z144" s="114"/>
      <c r="AA144" s="114"/>
      <c r="AB144" s="114"/>
      <c r="AC144" s="114"/>
      <c r="AD144" s="114"/>
      <c r="AE144" s="114"/>
      <c r="AF144" s="114"/>
    </row>
    <row r="145" spans="2:32" ht="12.75" customHeight="1" x14ac:dyDescent="0.2">
      <c r="B145" s="21">
        <v>1</v>
      </c>
      <c r="D145" s="114" t="s">
        <v>457</v>
      </c>
      <c r="E145" s="114" t="s">
        <v>741</v>
      </c>
      <c r="F145" s="285">
        <v>5165</v>
      </c>
      <c r="G145" s="286"/>
      <c r="H145" s="114"/>
      <c r="I145" s="156"/>
      <c r="J145" s="164"/>
      <c r="K145" s="232" t="s">
        <v>24</v>
      </c>
      <c r="L145" s="287" t="s">
        <v>127</v>
      </c>
      <c r="M145" s="288"/>
      <c r="N145" s="212">
        <v>1</v>
      </c>
      <c r="O145" s="149">
        <f>3.5+7+2.75</f>
        <v>13.25</v>
      </c>
      <c r="P145" s="114">
        <f>4</f>
        <v>4</v>
      </c>
      <c r="Q145" s="114"/>
      <c r="R145" s="114"/>
      <c r="S145" s="114"/>
      <c r="T145" s="114"/>
      <c r="U145" s="114"/>
      <c r="V145" s="114"/>
      <c r="W145" s="114"/>
      <c r="X145" s="114">
        <v>1</v>
      </c>
      <c r="Y145" s="114"/>
      <c r="Z145" s="114"/>
      <c r="AA145" s="114"/>
      <c r="AB145" s="114"/>
      <c r="AC145" s="114"/>
      <c r="AD145" s="114"/>
      <c r="AE145" s="114"/>
      <c r="AF145" s="114"/>
    </row>
    <row r="146" spans="2:32" ht="12.75" customHeight="1" x14ac:dyDescent="0.2">
      <c r="B146" s="21">
        <v>1</v>
      </c>
      <c r="D146" s="162" t="s">
        <v>458</v>
      </c>
      <c r="E146" s="114" t="s">
        <v>741</v>
      </c>
      <c r="F146" s="285">
        <v>5217</v>
      </c>
      <c r="G146" s="286"/>
      <c r="H146" s="114"/>
      <c r="I146" s="156"/>
      <c r="J146" s="164"/>
      <c r="K146" s="232" t="s">
        <v>24</v>
      </c>
      <c r="L146" s="287" t="s">
        <v>698</v>
      </c>
      <c r="M146" s="288"/>
      <c r="N146" s="212">
        <v>1</v>
      </c>
      <c r="O146" s="149">
        <f>(3.5+7+1)</f>
        <v>11.5</v>
      </c>
      <c r="P146" s="114">
        <f>3*1</f>
        <v>3</v>
      </c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</row>
    <row r="147" spans="2:32" ht="12.75" customHeight="1" x14ac:dyDescent="0.2">
      <c r="B147" s="21">
        <v>1</v>
      </c>
      <c r="D147" s="114" t="s">
        <v>459</v>
      </c>
      <c r="E147" s="114" t="s">
        <v>741</v>
      </c>
      <c r="F147" s="285">
        <v>68533</v>
      </c>
      <c r="G147" s="286"/>
      <c r="H147" s="155"/>
      <c r="I147" s="156"/>
      <c r="J147" s="164"/>
      <c r="K147" s="232" t="s">
        <v>24</v>
      </c>
      <c r="L147" s="287" t="s">
        <v>129</v>
      </c>
      <c r="M147" s="288"/>
      <c r="N147" s="212">
        <v>1</v>
      </c>
      <c r="O147" s="149">
        <f>3.5+7+1+2+1.25</f>
        <v>14.75</v>
      </c>
      <c r="P147" s="114">
        <f>2*1</f>
        <v>2</v>
      </c>
      <c r="Q147" s="114"/>
      <c r="R147" s="114"/>
      <c r="S147" s="114"/>
      <c r="T147" s="114"/>
      <c r="U147" s="114"/>
      <c r="V147" s="114"/>
      <c r="W147" s="114">
        <v>1</v>
      </c>
      <c r="X147" s="114"/>
      <c r="Y147" s="114"/>
      <c r="Z147" s="114"/>
      <c r="AA147" s="114"/>
      <c r="AB147" s="114"/>
      <c r="AC147" s="114"/>
      <c r="AD147" s="114"/>
      <c r="AE147" s="114"/>
      <c r="AF147" s="114"/>
    </row>
    <row r="148" spans="2:32" ht="12.75" customHeight="1" x14ac:dyDescent="0.2">
      <c r="B148" s="21">
        <v>1</v>
      </c>
      <c r="D148" s="114"/>
      <c r="E148" s="114" t="s">
        <v>741</v>
      </c>
      <c r="F148" s="285">
        <v>68533</v>
      </c>
      <c r="G148" s="286"/>
      <c r="H148" s="114"/>
      <c r="I148" s="156"/>
      <c r="J148" s="164"/>
      <c r="K148" s="232" t="s">
        <v>24</v>
      </c>
      <c r="L148" s="287" t="s">
        <v>669</v>
      </c>
      <c r="M148" s="288"/>
      <c r="N148" s="212">
        <v>1</v>
      </c>
      <c r="O148" s="149"/>
      <c r="P148" s="114">
        <f>2*2</f>
        <v>4</v>
      </c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</row>
    <row r="149" spans="2:32" ht="12.75" customHeight="1" x14ac:dyDescent="0.2">
      <c r="B149" s="21">
        <v>1</v>
      </c>
      <c r="D149" s="114"/>
      <c r="E149" s="114" t="s">
        <v>741</v>
      </c>
      <c r="F149" s="285">
        <v>68533</v>
      </c>
      <c r="G149" s="286"/>
      <c r="H149" s="114"/>
      <c r="I149" s="156"/>
      <c r="J149" s="164"/>
      <c r="K149" s="232" t="s">
        <v>24</v>
      </c>
      <c r="L149" s="287" t="s">
        <v>125</v>
      </c>
      <c r="M149" s="288"/>
      <c r="N149" s="212">
        <v>1</v>
      </c>
      <c r="O149" s="149"/>
      <c r="P149" s="110">
        <f>1.75*1.25</f>
        <v>2.1875</v>
      </c>
      <c r="Q149" s="114"/>
      <c r="R149" s="114"/>
      <c r="S149" s="109">
        <v>1</v>
      </c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</row>
    <row r="150" spans="2:32" ht="12.75" customHeight="1" x14ac:dyDescent="0.2">
      <c r="B150" s="21">
        <v>1</v>
      </c>
      <c r="D150" s="114" t="s">
        <v>677</v>
      </c>
      <c r="E150" s="114" t="s">
        <v>741</v>
      </c>
      <c r="F150" s="285">
        <v>68362</v>
      </c>
      <c r="G150" s="286"/>
      <c r="H150" s="114"/>
      <c r="I150" s="156"/>
      <c r="J150" s="164"/>
      <c r="K150" s="232" t="s">
        <v>24</v>
      </c>
      <c r="L150" s="287" t="s">
        <v>678</v>
      </c>
      <c r="M150" s="288"/>
      <c r="N150" s="212">
        <v>1</v>
      </c>
      <c r="O150" s="149"/>
      <c r="P150" s="114">
        <f>2*1</f>
        <v>2</v>
      </c>
      <c r="Q150" s="114"/>
      <c r="R150" s="114"/>
      <c r="S150" s="109">
        <v>1</v>
      </c>
      <c r="T150" s="114"/>
      <c r="U150" s="292">
        <v>1</v>
      </c>
      <c r="V150" s="292">
        <v>1</v>
      </c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</row>
    <row r="151" spans="2:32" ht="12.75" customHeight="1" x14ac:dyDescent="0.2">
      <c r="B151" s="21">
        <v>1</v>
      </c>
      <c r="D151" s="114"/>
      <c r="E151" s="114" t="s">
        <v>741</v>
      </c>
      <c r="F151" s="285">
        <v>68362</v>
      </c>
      <c r="G151" s="286"/>
      <c r="H151" s="114"/>
      <c r="I151" s="156"/>
      <c r="J151" s="164"/>
      <c r="K151" s="232" t="s">
        <v>24</v>
      </c>
      <c r="L151" s="287" t="s">
        <v>679</v>
      </c>
      <c r="M151" s="288"/>
      <c r="N151" s="212">
        <v>1</v>
      </c>
      <c r="O151" s="149"/>
      <c r="P151" s="114">
        <f>2.5*2.5</f>
        <v>6.25</v>
      </c>
      <c r="Q151" s="114"/>
      <c r="R151" s="114"/>
      <c r="S151" s="109">
        <v>1</v>
      </c>
      <c r="T151" s="114"/>
      <c r="U151" s="293"/>
      <c r="V151" s="293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</row>
    <row r="152" spans="2:32" ht="12.75" customHeight="1" x14ac:dyDescent="0.2">
      <c r="B152" s="21">
        <v>1</v>
      </c>
      <c r="D152" s="114"/>
      <c r="E152" s="114" t="s">
        <v>741</v>
      </c>
      <c r="F152" s="285">
        <v>68362</v>
      </c>
      <c r="G152" s="286"/>
      <c r="H152" s="114"/>
      <c r="I152" s="156"/>
      <c r="J152" s="164"/>
      <c r="K152" s="232" t="s">
        <v>24</v>
      </c>
      <c r="L152" s="287" t="s">
        <v>679</v>
      </c>
      <c r="M152" s="288"/>
      <c r="N152" s="212">
        <v>1</v>
      </c>
      <c r="O152" s="149"/>
      <c r="P152" s="114">
        <f>2.5*2.5</f>
        <v>6.25</v>
      </c>
      <c r="Q152" s="114"/>
      <c r="R152" s="114"/>
      <c r="S152" s="109">
        <v>1</v>
      </c>
      <c r="T152" s="114"/>
      <c r="U152" s="293"/>
      <c r="V152" s="293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</row>
    <row r="153" spans="2:32" ht="12.75" customHeight="1" x14ac:dyDescent="0.2">
      <c r="B153" s="21">
        <v>1</v>
      </c>
      <c r="D153" s="114"/>
      <c r="E153" s="114" t="s">
        <v>741</v>
      </c>
      <c r="F153" s="285">
        <v>68362</v>
      </c>
      <c r="G153" s="286"/>
      <c r="H153" s="114"/>
      <c r="I153" s="156"/>
      <c r="J153" s="164"/>
      <c r="K153" s="232" t="s">
        <v>24</v>
      </c>
      <c r="L153" s="287" t="s">
        <v>100</v>
      </c>
      <c r="M153" s="288"/>
      <c r="N153" s="212">
        <v>1</v>
      </c>
      <c r="O153" s="149"/>
      <c r="P153" s="114">
        <f>2*1</f>
        <v>2</v>
      </c>
      <c r="Q153" s="114"/>
      <c r="R153" s="114"/>
      <c r="S153" s="109">
        <v>1</v>
      </c>
      <c r="T153" s="114"/>
      <c r="U153" s="293"/>
      <c r="V153" s="293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</row>
    <row r="154" spans="2:32" ht="12.75" customHeight="1" x14ac:dyDescent="0.2">
      <c r="B154" s="21">
        <v>1</v>
      </c>
      <c r="D154" s="114"/>
      <c r="E154" s="114" t="s">
        <v>741</v>
      </c>
      <c r="F154" s="285">
        <v>68362</v>
      </c>
      <c r="G154" s="286"/>
      <c r="H154" s="114"/>
      <c r="I154" s="156"/>
      <c r="J154" s="164"/>
      <c r="K154" s="232" t="s">
        <v>24</v>
      </c>
      <c r="L154" s="287" t="s">
        <v>680</v>
      </c>
      <c r="M154" s="288"/>
      <c r="N154" s="212">
        <v>1</v>
      </c>
      <c r="O154" s="149"/>
      <c r="P154" s="114">
        <f>0.75*1</f>
        <v>0.75</v>
      </c>
      <c r="Q154" s="114"/>
      <c r="R154" s="114"/>
      <c r="S154" s="109">
        <v>1</v>
      </c>
      <c r="T154" s="114"/>
      <c r="U154" s="294"/>
      <c r="V154" s="29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</row>
    <row r="155" spans="2:32" ht="12.75" customHeight="1" x14ac:dyDescent="0.2">
      <c r="B155" s="21">
        <v>1</v>
      </c>
      <c r="D155" s="114" t="s">
        <v>681</v>
      </c>
      <c r="E155" s="114" t="s">
        <v>741</v>
      </c>
      <c r="F155" s="285">
        <v>68372</v>
      </c>
      <c r="G155" s="286"/>
      <c r="H155" s="114"/>
      <c r="I155" s="156"/>
      <c r="J155" s="164"/>
      <c r="K155" s="232" t="s">
        <v>25</v>
      </c>
      <c r="L155" s="287" t="s">
        <v>678</v>
      </c>
      <c r="M155" s="288"/>
      <c r="N155" s="212">
        <v>1</v>
      </c>
      <c r="O155" s="149"/>
      <c r="P155" s="114">
        <f>2*1</f>
        <v>2</v>
      </c>
      <c r="Q155" s="114"/>
      <c r="R155" s="114"/>
      <c r="S155" s="109">
        <v>1</v>
      </c>
      <c r="T155" s="114"/>
      <c r="U155" s="292">
        <v>1</v>
      </c>
      <c r="V155" s="292">
        <v>1</v>
      </c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</row>
    <row r="156" spans="2:32" ht="12.75" customHeight="1" x14ac:dyDescent="0.2">
      <c r="B156" s="21">
        <v>1</v>
      </c>
      <c r="D156" s="114"/>
      <c r="E156" s="114" t="s">
        <v>741</v>
      </c>
      <c r="F156" s="285">
        <v>68372</v>
      </c>
      <c r="G156" s="286"/>
      <c r="H156" s="114"/>
      <c r="I156" s="156"/>
      <c r="J156" s="164"/>
      <c r="K156" s="232" t="s">
        <v>25</v>
      </c>
      <c r="L156" s="287" t="s">
        <v>679</v>
      </c>
      <c r="M156" s="288"/>
      <c r="N156" s="212">
        <v>1</v>
      </c>
      <c r="O156" s="149"/>
      <c r="P156" s="114">
        <f>2.5*2.5</f>
        <v>6.25</v>
      </c>
      <c r="Q156" s="114"/>
      <c r="R156" s="114"/>
      <c r="S156" s="109">
        <v>1</v>
      </c>
      <c r="T156" s="114"/>
      <c r="U156" s="293"/>
      <c r="V156" s="293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</row>
    <row r="157" spans="2:32" ht="12.75" customHeight="1" x14ac:dyDescent="0.2">
      <c r="B157" s="21">
        <v>1</v>
      </c>
      <c r="D157" s="114"/>
      <c r="E157" s="114" t="s">
        <v>741</v>
      </c>
      <c r="F157" s="285">
        <v>68372</v>
      </c>
      <c r="G157" s="286"/>
      <c r="H157" s="114"/>
      <c r="I157" s="156"/>
      <c r="J157" s="164"/>
      <c r="K157" s="232" t="s">
        <v>25</v>
      </c>
      <c r="L157" s="287" t="s">
        <v>679</v>
      </c>
      <c r="M157" s="288"/>
      <c r="N157" s="212">
        <v>1</v>
      </c>
      <c r="O157" s="149"/>
      <c r="P157" s="114">
        <f>2.5*2.5</f>
        <v>6.25</v>
      </c>
      <c r="Q157" s="114"/>
      <c r="R157" s="114"/>
      <c r="S157" s="109">
        <v>1</v>
      </c>
      <c r="T157" s="114"/>
      <c r="U157" s="293"/>
      <c r="V157" s="293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</row>
    <row r="158" spans="2:32" ht="12.75" customHeight="1" x14ac:dyDescent="0.2">
      <c r="B158" s="21">
        <v>1</v>
      </c>
      <c r="D158" s="114"/>
      <c r="E158" s="114" t="s">
        <v>741</v>
      </c>
      <c r="F158" s="285">
        <v>68372</v>
      </c>
      <c r="G158" s="286"/>
      <c r="H158" s="114"/>
      <c r="I158" s="156"/>
      <c r="J158" s="164"/>
      <c r="K158" s="232" t="s">
        <v>25</v>
      </c>
      <c r="L158" s="287" t="s">
        <v>100</v>
      </c>
      <c r="M158" s="288"/>
      <c r="N158" s="212">
        <v>1</v>
      </c>
      <c r="O158" s="149"/>
      <c r="P158" s="114">
        <f>2*1</f>
        <v>2</v>
      </c>
      <c r="Q158" s="114"/>
      <c r="R158" s="114"/>
      <c r="S158" s="109">
        <v>1</v>
      </c>
      <c r="T158" s="114"/>
      <c r="U158" s="293"/>
      <c r="V158" s="293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</row>
    <row r="159" spans="2:32" ht="12.75" customHeight="1" x14ac:dyDescent="0.2">
      <c r="B159" s="21">
        <v>1</v>
      </c>
      <c r="D159" s="114"/>
      <c r="E159" s="114" t="s">
        <v>741</v>
      </c>
      <c r="F159" s="285">
        <v>68372</v>
      </c>
      <c r="G159" s="286"/>
      <c r="H159" s="114"/>
      <c r="I159" s="287"/>
      <c r="J159" s="289"/>
      <c r="K159" s="232" t="s">
        <v>25</v>
      </c>
      <c r="L159" s="287" t="s">
        <v>680</v>
      </c>
      <c r="M159" s="288"/>
      <c r="N159" s="212">
        <v>1</v>
      </c>
      <c r="O159" s="149"/>
      <c r="P159" s="114">
        <f>0.75*1</f>
        <v>0.75</v>
      </c>
      <c r="Q159" s="114"/>
      <c r="R159" s="114"/>
      <c r="S159" s="109">
        <v>1</v>
      </c>
      <c r="T159" s="114"/>
      <c r="U159" s="294"/>
      <c r="V159" s="29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</row>
    <row r="160" spans="2:32" ht="12.75" customHeight="1" x14ac:dyDescent="0.2">
      <c r="B160" s="21"/>
      <c r="D160" s="114"/>
      <c r="E160" s="114"/>
      <c r="F160" s="285"/>
      <c r="G160" s="286"/>
      <c r="H160" s="114"/>
      <c r="I160" s="287"/>
      <c r="J160" s="289"/>
      <c r="K160" s="232"/>
      <c r="L160" s="287"/>
      <c r="M160" s="288"/>
      <c r="N160" s="212"/>
      <c r="O160" s="149"/>
      <c r="P160" s="114"/>
      <c r="Q160" s="114"/>
      <c r="R160" s="114"/>
      <c r="S160" s="109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</row>
    <row r="161" spans="2:34" ht="12.75" customHeight="1" x14ac:dyDescent="0.2">
      <c r="B161" s="21"/>
      <c r="D161" s="114"/>
      <c r="E161" s="114"/>
      <c r="F161" s="285"/>
      <c r="G161" s="286"/>
      <c r="H161" s="114"/>
      <c r="I161" s="287"/>
      <c r="J161" s="289"/>
      <c r="K161" s="232"/>
      <c r="L161" s="287"/>
      <c r="M161" s="288"/>
      <c r="N161" s="212"/>
      <c r="O161" s="149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</row>
    <row r="162" spans="2:34" ht="12.75" customHeight="1" x14ac:dyDescent="0.2">
      <c r="B162" s="21"/>
      <c r="D162" s="114"/>
      <c r="E162" s="114"/>
      <c r="F162" s="285"/>
      <c r="G162" s="286"/>
      <c r="H162" s="114"/>
      <c r="I162" s="287"/>
      <c r="J162" s="289"/>
      <c r="K162" s="232"/>
      <c r="L162" s="287"/>
      <c r="M162" s="288"/>
      <c r="N162" s="212"/>
      <c r="O162" s="149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</row>
    <row r="163" spans="2:34" ht="12.75" customHeight="1" x14ac:dyDescent="0.2">
      <c r="B163" s="21"/>
      <c r="D163" s="114"/>
      <c r="E163" s="114"/>
      <c r="F163" s="285"/>
      <c r="G163" s="286"/>
      <c r="H163" s="114"/>
      <c r="I163" s="287"/>
      <c r="J163" s="289"/>
      <c r="K163" s="232"/>
      <c r="L163" s="287"/>
      <c r="M163" s="288"/>
      <c r="N163" s="212"/>
      <c r="O163" s="149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</row>
    <row r="164" spans="2:34" ht="12.75" customHeight="1" x14ac:dyDescent="0.2">
      <c r="B164" s="21"/>
      <c r="D164" s="114"/>
      <c r="E164" s="114"/>
      <c r="F164" s="285"/>
      <c r="G164" s="286"/>
      <c r="H164" s="114"/>
      <c r="I164" s="287"/>
      <c r="J164" s="289"/>
      <c r="K164" s="232"/>
      <c r="L164" s="287"/>
      <c r="M164" s="288"/>
      <c r="N164" s="212"/>
      <c r="O164" s="149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</row>
    <row r="165" spans="2:34" ht="12.75" customHeight="1" thickBot="1" x14ac:dyDescent="0.25">
      <c r="B165" s="21"/>
      <c r="D165" s="114"/>
      <c r="E165" s="114"/>
      <c r="F165" s="285"/>
      <c r="G165" s="286"/>
      <c r="H165" s="114"/>
      <c r="I165" s="296"/>
      <c r="J165" s="297"/>
      <c r="K165" s="232"/>
      <c r="L165" s="287"/>
      <c r="M165" s="288"/>
      <c r="N165" s="213"/>
      <c r="O165" s="139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</row>
    <row r="166" spans="2:34" ht="12.75" customHeight="1" x14ac:dyDescent="0.2">
      <c r="B166" s="5" t="s">
        <v>11</v>
      </c>
      <c r="D166" s="271" t="s">
        <v>766</v>
      </c>
      <c r="E166" s="272"/>
      <c r="F166" s="272"/>
      <c r="G166" s="272"/>
      <c r="H166" s="272"/>
      <c r="I166" s="272"/>
      <c r="J166" s="272"/>
      <c r="K166" s="272"/>
      <c r="L166" s="272"/>
      <c r="M166" s="272"/>
      <c r="N166" s="291"/>
      <c r="O166" s="160">
        <f>SUM(O106:O165)</f>
        <v>330.75</v>
      </c>
      <c r="P166" s="160">
        <f t="shared" ref="P166:AF166" si="20">SUM(P106:P165)</f>
        <v>189.125</v>
      </c>
      <c r="Q166" s="160">
        <f t="shared" si="20"/>
        <v>0</v>
      </c>
      <c r="R166" s="160">
        <f t="shared" si="20"/>
        <v>0</v>
      </c>
      <c r="S166" s="160">
        <f t="shared" si="20"/>
        <v>11</v>
      </c>
      <c r="T166" s="160">
        <f t="shared" si="20"/>
        <v>1</v>
      </c>
      <c r="U166" s="160">
        <f t="shared" si="20"/>
        <v>2</v>
      </c>
      <c r="V166" s="160">
        <f t="shared" si="20"/>
        <v>2</v>
      </c>
      <c r="W166" s="160">
        <f t="shared" si="20"/>
        <v>4</v>
      </c>
      <c r="X166" s="160">
        <f t="shared" si="20"/>
        <v>21</v>
      </c>
      <c r="Y166" s="160">
        <f t="shared" si="20"/>
        <v>0</v>
      </c>
      <c r="Z166" s="160">
        <f t="shared" si="20"/>
        <v>0</v>
      </c>
      <c r="AA166" s="160">
        <f t="shared" si="20"/>
        <v>0</v>
      </c>
      <c r="AB166" s="160">
        <f t="shared" si="20"/>
        <v>0</v>
      </c>
      <c r="AC166" s="160">
        <f t="shared" si="20"/>
        <v>0</v>
      </c>
      <c r="AD166" s="160">
        <f t="shared" si="20"/>
        <v>0</v>
      </c>
      <c r="AE166" s="160">
        <f t="shared" si="20"/>
        <v>0</v>
      </c>
      <c r="AF166" s="160">
        <f t="shared" si="20"/>
        <v>0</v>
      </c>
    </row>
    <row r="167" spans="2:34" ht="12.75" customHeight="1" x14ac:dyDescent="0.2">
      <c r="D167" s="94" t="s">
        <v>701</v>
      </c>
      <c r="E167" s="78"/>
      <c r="F167" s="78"/>
      <c r="G167" s="78"/>
      <c r="H167" s="78"/>
      <c r="I167" s="78"/>
      <c r="J167" s="239"/>
      <c r="K167" s="78"/>
      <c r="L167" s="226"/>
      <c r="M167" s="69"/>
      <c r="N167" s="229"/>
      <c r="O167" s="69">
        <f>SUMIF($N106:$N165, 1, O106:O165)</f>
        <v>330.75</v>
      </c>
      <c r="P167" s="69">
        <f t="shared" ref="P167:AF167" si="21">SUMIF($N106:$N165, 1, P106:P165)</f>
        <v>189.125</v>
      </c>
      <c r="Q167" s="69">
        <f t="shared" si="21"/>
        <v>0</v>
      </c>
      <c r="R167" s="69">
        <f t="shared" si="21"/>
        <v>0</v>
      </c>
      <c r="S167" s="69">
        <f t="shared" si="21"/>
        <v>11</v>
      </c>
      <c r="T167" s="69">
        <f t="shared" si="21"/>
        <v>1</v>
      </c>
      <c r="U167" s="69">
        <f t="shared" si="21"/>
        <v>2</v>
      </c>
      <c r="V167" s="69">
        <f t="shared" si="21"/>
        <v>2</v>
      </c>
      <c r="W167" s="69">
        <f t="shared" si="21"/>
        <v>4</v>
      </c>
      <c r="X167" s="69">
        <f t="shared" si="21"/>
        <v>21</v>
      </c>
      <c r="Y167" s="69">
        <f t="shared" si="21"/>
        <v>0</v>
      </c>
      <c r="Z167" s="69">
        <f t="shared" si="21"/>
        <v>0</v>
      </c>
      <c r="AA167" s="69">
        <f t="shared" si="21"/>
        <v>0</v>
      </c>
      <c r="AB167" s="69">
        <f t="shared" si="21"/>
        <v>0</v>
      </c>
      <c r="AC167" s="69">
        <f t="shared" si="21"/>
        <v>0</v>
      </c>
      <c r="AD167" s="69">
        <f t="shared" si="21"/>
        <v>0</v>
      </c>
      <c r="AE167" s="69">
        <f t="shared" si="21"/>
        <v>0</v>
      </c>
      <c r="AF167" s="69">
        <f t="shared" si="21"/>
        <v>0</v>
      </c>
      <c r="AG167" s="69"/>
      <c r="AH167" s="69"/>
    </row>
    <row r="168" spans="2:34" ht="12.75" customHeight="1" x14ac:dyDescent="0.2">
      <c r="D168" s="94" t="s">
        <v>702</v>
      </c>
      <c r="E168" s="78"/>
      <c r="F168" s="78"/>
      <c r="G168" s="78"/>
      <c r="H168" s="78"/>
      <c r="I168" s="78"/>
      <c r="J168" s="239"/>
      <c r="K168" s="78"/>
      <c r="L168" s="226"/>
      <c r="M168" s="69"/>
      <c r="N168" s="229"/>
      <c r="O168" s="69">
        <f>SUMIF($N106:$N165, 4, O106:O165)</f>
        <v>0</v>
      </c>
      <c r="P168" s="69">
        <f t="shared" ref="P168:AF168" si="22">SUMIF($N106:$N165, 4, P106:P165)</f>
        <v>0</v>
      </c>
      <c r="Q168" s="69">
        <f t="shared" si="22"/>
        <v>0</v>
      </c>
      <c r="R168" s="69">
        <f t="shared" si="22"/>
        <v>0</v>
      </c>
      <c r="S168" s="69">
        <f t="shared" si="22"/>
        <v>0</v>
      </c>
      <c r="T168" s="69">
        <f t="shared" si="22"/>
        <v>0</v>
      </c>
      <c r="U168" s="69">
        <f t="shared" si="22"/>
        <v>0</v>
      </c>
      <c r="V168" s="69">
        <f t="shared" si="22"/>
        <v>0</v>
      </c>
      <c r="W168" s="69">
        <f t="shared" si="22"/>
        <v>0</v>
      </c>
      <c r="X168" s="69">
        <f t="shared" si="22"/>
        <v>0</v>
      </c>
      <c r="Y168" s="69">
        <f t="shared" si="22"/>
        <v>0</v>
      </c>
      <c r="Z168" s="69">
        <f t="shared" si="22"/>
        <v>0</v>
      </c>
      <c r="AA168" s="69">
        <f t="shared" si="22"/>
        <v>0</v>
      </c>
      <c r="AB168" s="69">
        <f t="shared" si="22"/>
        <v>0</v>
      </c>
      <c r="AC168" s="69">
        <f t="shared" si="22"/>
        <v>0</v>
      </c>
      <c r="AD168" s="69">
        <f t="shared" si="22"/>
        <v>0</v>
      </c>
      <c r="AE168" s="69">
        <f t="shared" si="22"/>
        <v>0</v>
      </c>
      <c r="AF168" s="69">
        <f t="shared" si="22"/>
        <v>0</v>
      </c>
      <c r="AG168" s="69"/>
      <c r="AH168" s="69"/>
    </row>
    <row r="169" spans="2:34" ht="12.75" customHeight="1" x14ac:dyDescent="0.2">
      <c r="D169" s="94" t="s">
        <v>703</v>
      </c>
      <c r="E169" s="78"/>
      <c r="F169" s="78"/>
      <c r="G169" s="78"/>
      <c r="H169" s="78"/>
      <c r="I169" s="78"/>
      <c r="J169" s="239"/>
      <c r="K169" s="78"/>
      <c r="L169" s="226"/>
      <c r="M169" s="69"/>
      <c r="N169" s="229"/>
      <c r="O169" s="69">
        <f>SUMIF($N106:$N165, 6, O106:O165)</f>
        <v>0</v>
      </c>
      <c r="P169" s="69">
        <f t="shared" ref="P169:AF169" si="23">SUMIF($N106:$N165, 6, P106:P165)</f>
        <v>0</v>
      </c>
      <c r="Q169" s="69">
        <f t="shared" si="23"/>
        <v>0</v>
      </c>
      <c r="R169" s="69">
        <f t="shared" si="23"/>
        <v>0</v>
      </c>
      <c r="S169" s="69">
        <f t="shared" si="23"/>
        <v>0</v>
      </c>
      <c r="T169" s="69">
        <f t="shared" si="23"/>
        <v>0</v>
      </c>
      <c r="U169" s="69">
        <f t="shared" si="23"/>
        <v>0</v>
      </c>
      <c r="V169" s="69">
        <f t="shared" si="23"/>
        <v>0</v>
      </c>
      <c r="W169" s="69">
        <f t="shared" si="23"/>
        <v>0</v>
      </c>
      <c r="X169" s="69">
        <f t="shared" si="23"/>
        <v>0</v>
      </c>
      <c r="Y169" s="69">
        <f t="shared" si="23"/>
        <v>0</v>
      </c>
      <c r="Z169" s="69">
        <f t="shared" si="23"/>
        <v>0</v>
      </c>
      <c r="AA169" s="69">
        <f t="shared" si="23"/>
        <v>0</v>
      </c>
      <c r="AB169" s="69">
        <f t="shared" si="23"/>
        <v>0</v>
      </c>
      <c r="AC169" s="69">
        <f t="shared" si="23"/>
        <v>0</v>
      </c>
      <c r="AD169" s="69">
        <f t="shared" si="23"/>
        <v>0</v>
      </c>
      <c r="AE169" s="69">
        <f t="shared" si="23"/>
        <v>0</v>
      </c>
      <c r="AF169" s="69">
        <f t="shared" si="23"/>
        <v>0</v>
      </c>
      <c r="AG169" s="69"/>
      <c r="AH169" s="69"/>
    </row>
    <row r="170" spans="2:34" ht="12.75" customHeight="1" thickBot="1" x14ac:dyDescent="0.25"/>
    <row r="171" spans="2:34" ht="12.75" customHeight="1" thickBot="1" x14ac:dyDescent="0.25">
      <c r="B171" s="20" t="s">
        <v>9</v>
      </c>
      <c r="D171" s="295" t="str">
        <f>"SUBSUMMARY SHEET " &amp; B172</f>
        <v>SUBSUMMARY SHEET 3</v>
      </c>
      <c r="E171" s="295"/>
      <c r="F171" s="295"/>
      <c r="G171" s="295"/>
      <c r="H171" s="295"/>
      <c r="I171" s="295"/>
      <c r="J171" s="295"/>
      <c r="K171" s="295"/>
      <c r="L171" s="295"/>
      <c r="M171" s="295"/>
      <c r="N171" s="295"/>
      <c r="O171" s="295"/>
      <c r="P171" s="295"/>
      <c r="Q171" s="295"/>
      <c r="R171" s="295"/>
      <c r="S171" s="295"/>
      <c r="T171" s="295"/>
      <c r="U171" s="295"/>
      <c r="V171" s="295"/>
      <c r="W171" s="295"/>
      <c r="X171" s="295"/>
      <c r="Y171" s="295"/>
      <c r="Z171" s="295"/>
      <c r="AA171" s="295"/>
      <c r="AB171" s="295"/>
      <c r="AC171" s="295"/>
      <c r="AD171" s="295"/>
      <c r="AE171" s="295"/>
      <c r="AF171" s="295"/>
    </row>
    <row r="172" spans="2:34" ht="12.75" customHeight="1" thickBot="1" x14ac:dyDescent="0.25">
      <c r="B172" s="24">
        <v>3</v>
      </c>
      <c r="D172" s="309" t="s">
        <v>7</v>
      </c>
      <c r="E172" s="309"/>
      <c r="F172" s="309"/>
      <c r="G172" s="309"/>
      <c r="H172" s="309"/>
      <c r="I172" s="309"/>
      <c r="J172" s="309"/>
      <c r="K172" s="19"/>
      <c r="L172" s="224"/>
      <c r="M172" s="19"/>
      <c r="N172" s="224"/>
      <c r="O172" s="19" t="s">
        <v>28</v>
      </c>
      <c r="P172" s="19" t="s">
        <v>29</v>
      </c>
      <c r="Q172" s="19" t="s">
        <v>30</v>
      </c>
      <c r="R172" s="19" t="s">
        <v>31</v>
      </c>
      <c r="S172" s="19" t="s">
        <v>682</v>
      </c>
      <c r="T172" s="19" t="s">
        <v>687</v>
      </c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</row>
    <row r="173" spans="2:34" ht="12.75" customHeight="1" thickBot="1" x14ac:dyDescent="0.25">
      <c r="D173" s="310" t="s">
        <v>8</v>
      </c>
      <c r="E173" s="310"/>
      <c r="F173" s="310"/>
      <c r="G173" s="310"/>
      <c r="H173" s="310"/>
      <c r="I173" s="310"/>
      <c r="J173" s="310"/>
      <c r="K173" s="15"/>
      <c r="L173" s="227"/>
      <c r="M173" s="15"/>
      <c r="N173" s="22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2:34" ht="12.75" customHeight="1" x14ac:dyDescent="0.2">
      <c r="B174" s="250" t="s">
        <v>10</v>
      </c>
      <c r="D174" s="253" t="s">
        <v>20</v>
      </c>
      <c r="E174" s="253" t="s">
        <v>21</v>
      </c>
      <c r="F174" s="256" t="s">
        <v>0</v>
      </c>
      <c r="G174" s="257"/>
      <c r="H174" s="257"/>
      <c r="I174" s="257"/>
      <c r="J174" s="312"/>
      <c r="K174" s="300" t="s">
        <v>23</v>
      </c>
      <c r="L174" s="303" t="s">
        <v>568</v>
      </c>
      <c r="M174" s="304"/>
      <c r="N174" s="324" t="s">
        <v>704</v>
      </c>
      <c r="O174" s="161" t="str">
        <f t="shared" ref="O174:R174" si="24">IF(OR(TRIM(O172)=0,TRIM(O172)=""),"",IF(IFERROR(TRIM(INDEX(QryItemNamed,MATCH(TRIM(O172),ITEM,0),2)),"")="Y","SPECIAL",LEFT(IFERROR(TRIM(INDEX(ITEM,MATCH(TRIM(O172),ITEM,0))),""),3)))</f>
        <v>630</v>
      </c>
      <c r="P174" s="145" t="str">
        <f t="shared" si="24"/>
        <v>630</v>
      </c>
      <c r="Q174" s="145" t="str">
        <f t="shared" si="24"/>
        <v>630</v>
      </c>
      <c r="R174" s="145" t="str">
        <f t="shared" si="24"/>
        <v>630</v>
      </c>
      <c r="S174" s="145">
        <v>630</v>
      </c>
      <c r="T174" s="145">
        <v>620</v>
      </c>
      <c r="U174" s="145">
        <v>630</v>
      </c>
      <c r="V174" s="145">
        <v>632</v>
      </c>
      <c r="W174" s="145">
        <v>630</v>
      </c>
      <c r="X174" s="145">
        <v>630</v>
      </c>
      <c r="Y174" s="145"/>
      <c r="Z174" s="145"/>
      <c r="AA174" s="145"/>
      <c r="AB174" s="145"/>
      <c r="AC174" s="145"/>
      <c r="AD174" s="145" t="str">
        <f t="shared" ref="AD174:AF174" si="25">IF(OR(TRIM(AD172)=0,TRIM(AD172)=""),"",IF(IFERROR(TRIM(INDEX(QryItemNamed,MATCH(TRIM(AD172),ITEM,0),2)),"")="Y","SPECIAL",LEFT(IFERROR(TRIM(INDEX(ITEM,MATCH(TRIM(AD172),ITEM,0))),""),3)))</f>
        <v/>
      </c>
      <c r="AE174" s="145" t="str">
        <f t="shared" si="25"/>
        <v/>
      </c>
      <c r="AF174" s="145" t="str">
        <f t="shared" si="25"/>
        <v/>
      </c>
    </row>
    <row r="175" spans="2:34" ht="12.75" customHeight="1" x14ac:dyDescent="0.2">
      <c r="B175" s="251"/>
      <c r="D175" s="254"/>
      <c r="E175" s="254"/>
      <c r="F175" s="258"/>
      <c r="G175" s="259"/>
      <c r="H175" s="259"/>
      <c r="I175" s="259"/>
      <c r="J175" s="313"/>
      <c r="K175" s="301"/>
      <c r="L175" s="305"/>
      <c r="M175" s="306"/>
      <c r="N175" s="325"/>
      <c r="O175" s="311" t="str">
        <f t="shared" ref="O175:R175" si="26">IF(OR(TRIM(O172)=0,TRIM(O172)=""),IF(O173="","",O173),IF(IFERROR(TRIM(INDEX(QryItemNamed,MATCH(TRIM(O172),ITEM,0),2)),"")="Y",TRIM(RIGHT(IFERROR(TRIM(INDEX(QryItemNamed,MATCH(TRIM(O172),ITEM,0),4)),"123456789012"),LEN(IFERROR(TRIM(INDEX(QryItemNamed,MATCH(TRIM(O172),ITEM,0),4)),"123456789012"))-9))&amp;O173,IFERROR(TRIM(INDEX(QryItemNamed,MATCH(TRIM(O172),ITEM,0),4))&amp;O173,"ITEM CODE DOES NOT EXIST IN ITEM MASTER")))</f>
        <v>GROUND MOUNTED SUPPORT, NO. 3 POST</v>
      </c>
      <c r="P175" s="290" t="str">
        <f t="shared" si="26"/>
        <v>SIGN, FLAT SHEET</v>
      </c>
      <c r="Q175" s="290" t="str">
        <f t="shared" si="26"/>
        <v>REMOVAL OF GROUND MOUNTED SIGN AND DISPOSAL</v>
      </c>
      <c r="R175" s="290" t="str">
        <f t="shared" si="26"/>
        <v>REMOVAL OF GROUND MOUNTED POST SUPPORT AND DISPOSAL</v>
      </c>
      <c r="S175" s="290" t="str">
        <f t="shared" ref="S175" si="27">IF(OR(TRIM(S172)=0,TRIM(S172)=""),IF(S173="","",S173),IF(IFERROR(TRIM(INDEX(QryItemNamed,MATCH(TRIM(S172),ITEM,0),2)),"")="Y",TRIM(RIGHT(IFERROR(TRIM(INDEX(QryItemNamed,MATCH(TRIM(S172),ITEM,0),4)),"123456789012"),LEN(IFERROR(TRIM(INDEX(QryItemNamed,MATCH(TRIM(S172),ITEM,0),4)),"123456789012"))-9))&amp;S173,IFERROR(TRIM(INDEX(QryItemNamed,MATCH(TRIM(S172),ITEM,0),4))&amp;S173,"ITEM CODE DOES NOT EXIST IN ITEM MASTER")))</f>
        <v>SIGN SUPPORT ASSEMBLY, POLE MOUNTED</v>
      </c>
      <c r="T175" s="244" t="s">
        <v>697</v>
      </c>
      <c r="U175" s="278" t="s">
        <v>690</v>
      </c>
      <c r="V175" s="278" t="s">
        <v>691</v>
      </c>
      <c r="W175" s="278" t="s">
        <v>768</v>
      </c>
      <c r="X175" s="278" t="s">
        <v>710</v>
      </c>
      <c r="Y175" s="278"/>
      <c r="Z175" s="278"/>
      <c r="AA175" s="290"/>
      <c r="AB175" s="268"/>
      <c r="AC175" s="290"/>
      <c r="AD175" s="278" t="str">
        <f t="shared" ref="AD175:AF175" si="28">IF(OR(TRIM(AD172)=0,TRIM(AD172)=""),IF(AD173="","",AD173),IF(IFERROR(TRIM(INDEX(QryItemNamed,MATCH(TRIM(AD172),ITEM,0),2)),"")="Y",TRIM(RIGHT(IFERROR(TRIM(INDEX(QryItemNamed,MATCH(TRIM(AD172),ITEM,0),4)),"123456789012"),LEN(IFERROR(TRIM(INDEX(QryItemNamed,MATCH(TRIM(AD172),ITEM,0),4)),"123456789012"))-9))&amp;AD173,IFERROR(TRIM(INDEX(QryItemNamed,MATCH(TRIM(AD172),ITEM,0),4))&amp;AD173,"ITEM CODE DOES NOT EXIST IN ITEM MASTER")))</f>
        <v/>
      </c>
      <c r="AE175" s="278" t="str">
        <f t="shared" si="28"/>
        <v/>
      </c>
      <c r="AF175" s="278" t="str">
        <f t="shared" si="28"/>
        <v/>
      </c>
    </row>
    <row r="176" spans="2:34" ht="12.75" customHeight="1" x14ac:dyDescent="0.2">
      <c r="B176" s="251"/>
      <c r="D176" s="254"/>
      <c r="E176" s="254"/>
      <c r="F176" s="258"/>
      <c r="G176" s="259"/>
      <c r="H176" s="259"/>
      <c r="I176" s="259"/>
      <c r="J176" s="313"/>
      <c r="K176" s="301"/>
      <c r="L176" s="305"/>
      <c r="M176" s="306"/>
      <c r="N176" s="325"/>
      <c r="O176" s="311"/>
      <c r="P176" s="290"/>
      <c r="Q176" s="290"/>
      <c r="R176" s="290"/>
      <c r="S176" s="290"/>
      <c r="T176" s="245"/>
      <c r="U176" s="278"/>
      <c r="V176" s="278"/>
      <c r="W176" s="278"/>
      <c r="X176" s="278"/>
      <c r="Y176" s="278"/>
      <c r="Z176" s="278"/>
      <c r="AA176" s="290"/>
      <c r="AB176" s="269"/>
      <c r="AC176" s="290"/>
      <c r="AD176" s="278"/>
      <c r="AE176" s="278"/>
      <c r="AF176" s="278"/>
    </row>
    <row r="177" spans="2:32" ht="12.75" customHeight="1" x14ac:dyDescent="0.2">
      <c r="B177" s="251"/>
      <c r="D177" s="254"/>
      <c r="E177" s="254"/>
      <c r="F177" s="258"/>
      <c r="G177" s="259"/>
      <c r="H177" s="259"/>
      <c r="I177" s="259"/>
      <c r="J177" s="313"/>
      <c r="K177" s="301"/>
      <c r="L177" s="305"/>
      <c r="M177" s="306"/>
      <c r="N177" s="325"/>
      <c r="O177" s="311"/>
      <c r="P177" s="290"/>
      <c r="Q177" s="290"/>
      <c r="R177" s="290"/>
      <c r="S177" s="290"/>
      <c r="T177" s="245"/>
      <c r="U177" s="278"/>
      <c r="V177" s="278"/>
      <c r="W177" s="278"/>
      <c r="X177" s="278"/>
      <c r="Y177" s="278"/>
      <c r="Z177" s="278"/>
      <c r="AA177" s="290"/>
      <c r="AB177" s="269"/>
      <c r="AC177" s="290"/>
      <c r="AD177" s="278"/>
      <c r="AE177" s="278"/>
      <c r="AF177" s="278"/>
    </row>
    <row r="178" spans="2:32" ht="12.75" customHeight="1" x14ac:dyDescent="0.2">
      <c r="B178" s="251"/>
      <c r="D178" s="254"/>
      <c r="E178" s="254"/>
      <c r="F178" s="258"/>
      <c r="G178" s="259"/>
      <c r="H178" s="259"/>
      <c r="I178" s="259"/>
      <c r="J178" s="313"/>
      <c r="K178" s="301"/>
      <c r="L178" s="305"/>
      <c r="M178" s="306"/>
      <c r="N178" s="325"/>
      <c r="O178" s="311"/>
      <c r="P178" s="290"/>
      <c r="Q178" s="290"/>
      <c r="R178" s="290"/>
      <c r="S178" s="290"/>
      <c r="T178" s="245"/>
      <c r="U178" s="278"/>
      <c r="V178" s="278"/>
      <c r="W178" s="278"/>
      <c r="X178" s="278"/>
      <c r="Y178" s="278"/>
      <c r="Z178" s="278"/>
      <c r="AA178" s="290"/>
      <c r="AB178" s="269"/>
      <c r="AC178" s="290"/>
      <c r="AD178" s="278"/>
      <c r="AE178" s="278"/>
      <c r="AF178" s="278"/>
    </row>
    <row r="179" spans="2:32" ht="12.75" customHeight="1" x14ac:dyDescent="0.2">
      <c r="B179" s="251"/>
      <c r="D179" s="254"/>
      <c r="E179" s="254"/>
      <c r="F179" s="258"/>
      <c r="G179" s="259"/>
      <c r="H179" s="259"/>
      <c r="I179" s="259"/>
      <c r="J179" s="313"/>
      <c r="K179" s="301"/>
      <c r="L179" s="305"/>
      <c r="M179" s="306"/>
      <c r="N179" s="325"/>
      <c r="O179" s="311"/>
      <c r="P179" s="290"/>
      <c r="Q179" s="290"/>
      <c r="R179" s="290"/>
      <c r="S179" s="290"/>
      <c r="T179" s="245"/>
      <c r="U179" s="278"/>
      <c r="V179" s="278"/>
      <c r="W179" s="278"/>
      <c r="X179" s="278"/>
      <c r="Y179" s="278"/>
      <c r="Z179" s="278"/>
      <c r="AA179" s="290"/>
      <c r="AB179" s="269"/>
      <c r="AC179" s="290"/>
      <c r="AD179" s="278"/>
      <c r="AE179" s="278"/>
      <c r="AF179" s="278"/>
    </row>
    <row r="180" spans="2:32" ht="12.75" customHeight="1" x14ac:dyDescent="0.2">
      <c r="B180" s="251"/>
      <c r="D180" s="254"/>
      <c r="E180" s="254"/>
      <c r="F180" s="258"/>
      <c r="G180" s="259"/>
      <c r="H180" s="259"/>
      <c r="I180" s="259"/>
      <c r="J180" s="313"/>
      <c r="K180" s="301"/>
      <c r="L180" s="305"/>
      <c r="M180" s="306"/>
      <c r="N180" s="325"/>
      <c r="O180" s="311"/>
      <c r="P180" s="290"/>
      <c r="Q180" s="290"/>
      <c r="R180" s="290"/>
      <c r="S180" s="290"/>
      <c r="T180" s="245"/>
      <c r="U180" s="278"/>
      <c r="V180" s="278"/>
      <c r="W180" s="278"/>
      <c r="X180" s="278"/>
      <c r="Y180" s="278"/>
      <c r="Z180" s="278"/>
      <c r="AA180" s="290"/>
      <c r="AB180" s="269"/>
      <c r="AC180" s="290"/>
      <c r="AD180" s="278"/>
      <c r="AE180" s="278"/>
      <c r="AF180" s="278"/>
    </row>
    <row r="181" spans="2:32" ht="12.75" customHeight="1" x14ac:dyDescent="0.2">
      <c r="B181" s="251"/>
      <c r="D181" s="254"/>
      <c r="E181" s="254"/>
      <c r="F181" s="258"/>
      <c r="G181" s="259"/>
      <c r="H181" s="259"/>
      <c r="I181" s="259"/>
      <c r="J181" s="313"/>
      <c r="K181" s="301"/>
      <c r="L181" s="305"/>
      <c r="M181" s="306"/>
      <c r="N181" s="325"/>
      <c r="O181" s="311"/>
      <c r="P181" s="290"/>
      <c r="Q181" s="290"/>
      <c r="R181" s="290"/>
      <c r="S181" s="290"/>
      <c r="T181" s="245"/>
      <c r="U181" s="278"/>
      <c r="V181" s="278"/>
      <c r="W181" s="278"/>
      <c r="X181" s="278"/>
      <c r="Y181" s="278"/>
      <c r="Z181" s="278"/>
      <c r="AA181" s="290"/>
      <c r="AB181" s="269"/>
      <c r="AC181" s="290"/>
      <c r="AD181" s="278"/>
      <c r="AE181" s="278"/>
      <c r="AF181" s="278"/>
    </row>
    <row r="182" spans="2:32" ht="12.75" customHeight="1" x14ac:dyDescent="0.2">
      <c r="B182" s="251"/>
      <c r="D182" s="254"/>
      <c r="E182" s="254"/>
      <c r="F182" s="258"/>
      <c r="G182" s="259"/>
      <c r="H182" s="259"/>
      <c r="I182" s="259"/>
      <c r="J182" s="313"/>
      <c r="K182" s="301"/>
      <c r="L182" s="305"/>
      <c r="M182" s="306"/>
      <c r="N182" s="325"/>
      <c r="O182" s="311"/>
      <c r="P182" s="290"/>
      <c r="Q182" s="290"/>
      <c r="R182" s="290"/>
      <c r="S182" s="290"/>
      <c r="T182" s="245"/>
      <c r="U182" s="278"/>
      <c r="V182" s="278"/>
      <c r="W182" s="278"/>
      <c r="X182" s="278"/>
      <c r="Y182" s="278"/>
      <c r="Z182" s="278"/>
      <c r="AA182" s="290"/>
      <c r="AB182" s="269"/>
      <c r="AC182" s="290"/>
      <c r="AD182" s="278"/>
      <c r="AE182" s="278"/>
      <c r="AF182" s="278"/>
    </row>
    <row r="183" spans="2:32" ht="12.75" customHeight="1" x14ac:dyDescent="0.2">
      <c r="B183" s="251"/>
      <c r="D183" s="254"/>
      <c r="E183" s="254"/>
      <c r="F183" s="258"/>
      <c r="G183" s="259"/>
      <c r="H183" s="259"/>
      <c r="I183" s="259"/>
      <c r="J183" s="313"/>
      <c r="K183" s="301"/>
      <c r="L183" s="305"/>
      <c r="M183" s="306"/>
      <c r="N183" s="325"/>
      <c r="O183" s="311"/>
      <c r="P183" s="290"/>
      <c r="Q183" s="290"/>
      <c r="R183" s="290"/>
      <c r="S183" s="290"/>
      <c r="T183" s="245"/>
      <c r="U183" s="278"/>
      <c r="V183" s="278"/>
      <c r="W183" s="278"/>
      <c r="X183" s="278"/>
      <c r="Y183" s="278"/>
      <c r="Z183" s="278"/>
      <c r="AA183" s="290"/>
      <c r="AB183" s="269"/>
      <c r="AC183" s="290"/>
      <c r="AD183" s="278"/>
      <c r="AE183" s="278"/>
      <c r="AF183" s="278"/>
    </row>
    <row r="184" spans="2:32" ht="12.75" customHeight="1" x14ac:dyDescent="0.2">
      <c r="B184" s="251"/>
      <c r="D184" s="254"/>
      <c r="E184" s="254"/>
      <c r="F184" s="258"/>
      <c r="G184" s="259"/>
      <c r="H184" s="259"/>
      <c r="I184" s="259"/>
      <c r="J184" s="313"/>
      <c r="K184" s="301"/>
      <c r="L184" s="305"/>
      <c r="M184" s="306"/>
      <c r="N184" s="325"/>
      <c r="O184" s="311"/>
      <c r="P184" s="290"/>
      <c r="Q184" s="290"/>
      <c r="R184" s="290"/>
      <c r="S184" s="290"/>
      <c r="T184" s="245"/>
      <c r="U184" s="278"/>
      <c r="V184" s="278"/>
      <c r="W184" s="278"/>
      <c r="X184" s="278"/>
      <c r="Y184" s="278"/>
      <c r="Z184" s="278"/>
      <c r="AA184" s="290"/>
      <c r="AB184" s="269"/>
      <c r="AC184" s="290"/>
      <c r="AD184" s="278"/>
      <c r="AE184" s="278"/>
      <c r="AF184" s="278"/>
    </row>
    <row r="185" spans="2:32" ht="12.75" customHeight="1" x14ac:dyDescent="0.2">
      <c r="B185" s="251"/>
      <c r="D185" s="254"/>
      <c r="E185" s="254"/>
      <c r="F185" s="258"/>
      <c r="G185" s="259"/>
      <c r="H185" s="259"/>
      <c r="I185" s="259"/>
      <c r="J185" s="313"/>
      <c r="K185" s="301"/>
      <c r="L185" s="305"/>
      <c r="M185" s="306"/>
      <c r="N185" s="325"/>
      <c r="O185" s="311"/>
      <c r="P185" s="290"/>
      <c r="Q185" s="290"/>
      <c r="R185" s="290"/>
      <c r="S185" s="290"/>
      <c r="T185" s="245"/>
      <c r="U185" s="278"/>
      <c r="V185" s="278"/>
      <c r="W185" s="278"/>
      <c r="X185" s="278"/>
      <c r="Y185" s="278"/>
      <c r="Z185" s="278"/>
      <c r="AA185" s="290"/>
      <c r="AB185" s="269"/>
      <c r="AC185" s="290"/>
      <c r="AD185" s="278"/>
      <c r="AE185" s="278"/>
      <c r="AF185" s="278"/>
    </row>
    <row r="186" spans="2:32" ht="12.75" customHeight="1" x14ac:dyDescent="0.2">
      <c r="B186" s="251"/>
      <c r="D186" s="254"/>
      <c r="E186" s="254"/>
      <c r="F186" s="258"/>
      <c r="G186" s="259"/>
      <c r="H186" s="259"/>
      <c r="I186" s="259"/>
      <c r="J186" s="313"/>
      <c r="K186" s="301"/>
      <c r="L186" s="305"/>
      <c r="M186" s="306"/>
      <c r="N186" s="325"/>
      <c r="O186" s="311"/>
      <c r="P186" s="290"/>
      <c r="Q186" s="290"/>
      <c r="R186" s="290"/>
      <c r="S186" s="290"/>
      <c r="T186" s="246"/>
      <c r="U186" s="278"/>
      <c r="V186" s="278"/>
      <c r="W186" s="278"/>
      <c r="X186" s="278"/>
      <c r="Y186" s="278"/>
      <c r="Z186" s="278"/>
      <c r="AA186" s="290"/>
      <c r="AB186" s="270"/>
      <c r="AC186" s="290"/>
      <c r="AD186" s="278"/>
      <c r="AE186" s="278"/>
      <c r="AF186" s="278"/>
    </row>
    <row r="187" spans="2:32" ht="12.75" customHeight="1" thickBot="1" x14ac:dyDescent="0.25">
      <c r="B187" s="252"/>
      <c r="D187" s="255"/>
      <c r="E187" s="255"/>
      <c r="F187" s="260"/>
      <c r="G187" s="261"/>
      <c r="H187" s="261"/>
      <c r="I187" s="261"/>
      <c r="J187" s="314"/>
      <c r="K187" s="302"/>
      <c r="L187" s="307"/>
      <c r="M187" s="308"/>
      <c r="N187" s="326"/>
      <c r="O187" s="138" t="str">
        <f t="shared" ref="O187:T187" si="29">IF(OR(TRIM(O172)=0,TRIM(O172)=""),"",IFERROR(TRIM(INDEX(QryItemNamed,MATCH(TRIM(O172),ITEM,0),3)),""))</f>
        <v>FT</v>
      </c>
      <c r="P187" s="102" t="str">
        <f t="shared" si="29"/>
        <v>SF</v>
      </c>
      <c r="Q187" s="102" t="str">
        <f t="shared" si="29"/>
        <v>EACH</v>
      </c>
      <c r="R187" s="102" t="str">
        <f t="shared" si="29"/>
        <v>EACH</v>
      </c>
      <c r="S187" s="102" t="str">
        <f t="shared" si="29"/>
        <v>EACH</v>
      </c>
      <c r="T187" s="102" t="str">
        <f t="shared" si="29"/>
        <v>EACH</v>
      </c>
      <c r="U187" s="102" t="s">
        <v>51</v>
      </c>
      <c r="V187" s="102" t="s">
        <v>51</v>
      </c>
      <c r="W187" s="102" t="s">
        <v>51</v>
      </c>
      <c r="X187" s="102" t="s">
        <v>51</v>
      </c>
      <c r="Y187" s="102"/>
      <c r="Z187" s="102" t="str">
        <f t="shared" ref="Z187:AB187" si="30">IF(OR(TRIM(Z172)=0,TRIM(Z172)=""),"",IFERROR(TRIM(INDEX(QryItemNamed,MATCH(TRIM(Z172),ITEM,0),3)),""))</f>
        <v/>
      </c>
      <c r="AA187" s="102" t="str">
        <f t="shared" si="30"/>
        <v/>
      </c>
      <c r="AB187" s="102" t="str">
        <f t="shared" si="30"/>
        <v/>
      </c>
      <c r="AC187" s="102" t="str">
        <f>IF(OR(TRIM(AC172)=0,TRIM(AC172)=""),"",IFERROR(TRIM(INDEX(QryItemNamed,MATCH(TRIM(AC172),ITEM,0),3)),""))</f>
        <v/>
      </c>
      <c r="AD187" s="102" t="str">
        <f>IF(OR(TRIM(AD172)=0,TRIM(AD172)=""),"",IFERROR(TRIM(INDEX(QryItemNamed,MATCH(TRIM(AD172),ITEM,0),3)),""))</f>
        <v/>
      </c>
      <c r="AE187" s="102" t="str">
        <f>IF(OR(TRIM(AE172)=0,TRIM(AE172)=""),"",IFERROR(TRIM(INDEX(QryItemNamed,MATCH(TRIM(AE172),ITEM,0),3)),""))</f>
        <v/>
      </c>
      <c r="AF187" s="102" t="str">
        <f>IF(OR(TRIM(AF172)=0,TRIM(AF172)=""),"",IFERROR(TRIM(INDEX(QryItemNamed,MATCH(TRIM(AF172),ITEM,0),3)),""))</f>
        <v/>
      </c>
    </row>
    <row r="188" spans="2:32" ht="12.75" customHeight="1" x14ac:dyDescent="0.2">
      <c r="B188" s="21">
        <v>1</v>
      </c>
      <c r="C188" s="5">
        <f>902+18</f>
        <v>920</v>
      </c>
      <c r="D188" s="114" t="s">
        <v>460</v>
      </c>
      <c r="E188" s="114" t="s">
        <v>742</v>
      </c>
      <c r="F188" s="285"/>
      <c r="G188" s="286"/>
      <c r="H188" s="114"/>
      <c r="I188" s="287"/>
      <c r="J188" s="289"/>
      <c r="K188" s="231" t="s">
        <v>25</v>
      </c>
      <c r="L188" s="332"/>
      <c r="M188" s="334"/>
      <c r="N188" s="211">
        <v>1</v>
      </c>
      <c r="O188" s="149"/>
      <c r="P188" s="114"/>
      <c r="Q188" s="114">
        <v>1</v>
      </c>
      <c r="R188" s="114">
        <v>1</v>
      </c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</row>
    <row r="189" spans="2:32" ht="12.75" customHeight="1" x14ac:dyDescent="0.2">
      <c r="B189" s="21">
        <v>1</v>
      </c>
      <c r="D189" s="114" t="s">
        <v>461</v>
      </c>
      <c r="E189" s="114" t="s">
        <v>742</v>
      </c>
      <c r="F189" s="285"/>
      <c r="G189" s="286"/>
      <c r="H189" s="114"/>
      <c r="I189" s="287"/>
      <c r="J189" s="289"/>
      <c r="K189" s="232" t="s">
        <v>25</v>
      </c>
      <c r="L189" s="287"/>
      <c r="M189" s="288"/>
      <c r="N189" s="212">
        <v>1</v>
      </c>
      <c r="O189" s="149"/>
      <c r="P189" s="114"/>
      <c r="Q189" s="114">
        <v>1</v>
      </c>
      <c r="R189" s="114">
        <v>1</v>
      </c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</row>
    <row r="190" spans="2:32" ht="12.75" customHeight="1" x14ac:dyDescent="0.2">
      <c r="B190" s="21">
        <v>1</v>
      </c>
      <c r="D190" s="114" t="s">
        <v>462</v>
      </c>
      <c r="E190" s="114" t="s">
        <v>742</v>
      </c>
      <c r="F190" s="285"/>
      <c r="G190" s="286"/>
      <c r="H190" s="114"/>
      <c r="I190" s="287"/>
      <c r="J190" s="289"/>
      <c r="K190" s="232" t="s">
        <v>24</v>
      </c>
      <c r="L190" s="287"/>
      <c r="M190" s="288"/>
      <c r="N190" s="212">
        <v>1</v>
      </c>
      <c r="O190" s="149"/>
      <c r="P190" s="114"/>
      <c r="Q190" s="114">
        <v>2</v>
      </c>
      <c r="R190" s="114">
        <v>2</v>
      </c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</row>
    <row r="191" spans="2:32" ht="12.75" customHeight="1" x14ac:dyDescent="0.2">
      <c r="B191" s="21">
        <v>1</v>
      </c>
      <c r="D191" s="114" t="s">
        <v>463</v>
      </c>
      <c r="E191" s="114" t="s">
        <v>742</v>
      </c>
      <c r="F191" s="285"/>
      <c r="G191" s="286"/>
      <c r="H191" s="114"/>
      <c r="I191" s="287"/>
      <c r="J191" s="289"/>
      <c r="K191" s="232" t="s">
        <v>25</v>
      </c>
      <c r="L191" s="287"/>
      <c r="M191" s="288"/>
      <c r="N191" s="212">
        <v>1</v>
      </c>
      <c r="O191" s="149"/>
      <c r="P191" s="114"/>
      <c r="Q191" s="114">
        <v>3</v>
      </c>
      <c r="R191" s="114">
        <v>2</v>
      </c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</row>
    <row r="192" spans="2:32" ht="12.75" customHeight="1" x14ac:dyDescent="0.2">
      <c r="B192" s="21">
        <v>1</v>
      </c>
      <c r="D192" s="114" t="s">
        <v>464</v>
      </c>
      <c r="E192" s="114" t="s">
        <v>742</v>
      </c>
      <c r="F192" s="285">
        <v>68662</v>
      </c>
      <c r="G192" s="286"/>
      <c r="H192" s="114"/>
      <c r="I192" s="287"/>
      <c r="J192" s="289"/>
      <c r="K192" s="232" t="s">
        <v>24</v>
      </c>
      <c r="L192" s="287" t="s">
        <v>130</v>
      </c>
      <c r="M192" s="288"/>
      <c r="N192" s="212">
        <v>1</v>
      </c>
      <c r="O192" s="149">
        <f>(3.5+7+2.5)*2</f>
        <v>26</v>
      </c>
      <c r="P192" s="114">
        <f>4*2.5</f>
        <v>10</v>
      </c>
      <c r="Q192" s="114"/>
      <c r="R192" s="114"/>
      <c r="S192" s="110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</row>
    <row r="193" spans="2:32" ht="12.75" customHeight="1" x14ac:dyDescent="0.2">
      <c r="B193" s="21">
        <v>1</v>
      </c>
      <c r="D193" s="114" t="s">
        <v>465</v>
      </c>
      <c r="E193" s="114" t="s">
        <v>742</v>
      </c>
      <c r="F193" s="285">
        <v>68721</v>
      </c>
      <c r="G193" s="286"/>
      <c r="H193" s="114"/>
      <c r="I193" s="287"/>
      <c r="J193" s="289"/>
      <c r="K193" s="232"/>
      <c r="L193" s="287"/>
      <c r="M193" s="288"/>
      <c r="N193" s="212">
        <v>1</v>
      </c>
      <c r="O193" s="149"/>
      <c r="P193" s="114"/>
      <c r="Q193" s="114"/>
      <c r="R193" s="114"/>
      <c r="S193" s="110"/>
      <c r="T193" s="114">
        <v>1</v>
      </c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</row>
    <row r="194" spans="2:32" ht="12.75" customHeight="1" x14ac:dyDescent="0.2">
      <c r="B194" s="21">
        <v>1</v>
      </c>
      <c r="D194" s="114" t="s">
        <v>466</v>
      </c>
      <c r="E194" s="114" t="s">
        <v>742</v>
      </c>
      <c r="F194" s="285">
        <v>68862</v>
      </c>
      <c r="G194" s="286"/>
      <c r="H194" s="114"/>
      <c r="I194" s="156"/>
      <c r="J194" s="164"/>
      <c r="K194" s="232" t="s">
        <v>24</v>
      </c>
      <c r="L194" s="287" t="s">
        <v>129</v>
      </c>
      <c r="M194" s="288"/>
      <c r="N194" s="212">
        <v>1</v>
      </c>
      <c r="O194" s="149">
        <f>3.5+7+2.5+2+2+1</f>
        <v>18</v>
      </c>
      <c r="P194" s="114">
        <f>2*1</f>
        <v>2</v>
      </c>
      <c r="Q194" s="114"/>
      <c r="R194" s="114"/>
      <c r="S194" s="110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</row>
    <row r="195" spans="2:32" ht="12.75" customHeight="1" x14ac:dyDescent="0.2">
      <c r="B195" s="21">
        <v>1</v>
      </c>
      <c r="D195" s="114"/>
      <c r="E195" s="114" t="s">
        <v>742</v>
      </c>
      <c r="F195" s="285">
        <v>68862</v>
      </c>
      <c r="G195" s="286"/>
      <c r="H195" s="114"/>
      <c r="I195" s="156"/>
      <c r="J195" s="164"/>
      <c r="K195" s="232" t="s">
        <v>24</v>
      </c>
      <c r="L195" s="287" t="s">
        <v>669</v>
      </c>
      <c r="M195" s="288"/>
      <c r="N195" s="212">
        <v>1</v>
      </c>
      <c r="O195" s="149"/>
      <c r="P195" s="114">
        <f>2*2</f>
        <v>4</v>
      </c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</row>
    <row r="196" spans="2:32" ht="12.75" customHeight="1" x14ac:dyDescent="0.2">
      <c r="B196" s="21">
        <v>1</v>
      </c>
      <c r="D196" s="114"/>
      <c r="E196" s="114" t="s">
        <v>742</v>
      </c>
      <c r="F196" s="285">
        <v>68862</v>
      </c>
      <c r="G196" s="286"/>
      <c r="H196" s="114"/>
      <c r="I196" s="156"/>
      <c r="J196" s="164"/>
      <c r="K196" s="232" t="s">
        <v>24</v>
      </c>
      <c r="L196" s="287" t="s">
        <v>123</v>
      </c>
      <c r="M196" s="288"/>
      <c r="N196" s="212">
        <v>1</v>
      </c>
      <c r="O196" s="149"/>
      <c r="P196" s="114">
        <f>2*2</f>
        <v>4</v>
      </c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</row>
    <row r="197" spans="2:32" ht="12.75" customHeight="1" x14ac:dyDescent="0.2">
      <c r="B197" s="21">
        <v>1</v>
      </c>
      <c r="D197" s="114" t="s">
        <v>467</v>
      </c>
      <c r="E197" s="114" t="s">
        <v>742</v>
      </c>
      <c r="F197" s="285">
        <v>68850</v>
      </c>
      <c r="G197" s="286"/>
      <c r="H197" s="114"/>
      <c r="I197" s="156"/>
      <c r="J197" s="164"/>
      <c r="K197" s="232" t="s">
        <v>25</v>
      </c>
      <c r="L197" s="287" t="s">
        <v>117</v>
      </c>
      <c r="M197" s="288"/>
      <c r="N197" s="212">
        <v>1</v>
      </c>
      <c r="O197" s="149">
        <f>3.5+7+4.5</f>
        <v>15</v>
      </c>
      <c r="P197" s="114">
        <f>3*3</f>
        <v>9</v>
      </c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</row>
    <row r="198" spans="2:32" ht="12.75" customHeight="1" x14ac:dyDescent="0.2">
      <c r="B198" s="21">
        <v>1</v>
      </c>
      <c r="D198" s="114" t="s">
        <v>468</v>
      </c>
      <c r="E198" s="114" t="s">
        <v>742</v>
      </c>
      <c r="F198" s="285">
        <v>69077</v>
      </c>
      <c r="G198" s="286"/>
      <c r="H198" s="114"/>
      <c r="I198" s="156"/>
      <c r="J198" s="164"/>
      <c r="K198" s="232" t="s">
        <v>25</v>
      </c>
      <c r="L198" s="287" t="s">
        <v>114</v>
      </c>
      <c r="M198" s="288"/>
      <c r="N198" s="212">
        <v>1</v>
      </c>
      <c r="O198" s="149">
        <f>3.5+7+4.5+1+1.5</f>
        <v>17.5</v>
      </c>
      <c r="P198" s="114">
        <f>3*3</f>
        <v>9</v>
      </c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</row>
    <row r="199" spans="2:32" ht="12.75" customHeight="1" x14ac:dyDescent="0.2">
      <c r="B199" s="21">
        <v>1</v>
      </c>
      <c r="D199" s="114"/>
      <c r="E199" s="114" t="s">
        <v>742</v>
      </c>
      <c r="F199" s="285">
        <v>69077</v>
      </c>
      <c r="G199" s="286"/>
      <c r="H199" s="114"/>
      <c r="I199" s="156"/>
      <c r="J199" s="164"/>
      <c r="K199" s="232" t="s">
        <v>25</v>
      </c>
      <c r="L199" s="287" t="s">
        <v>131</v>
      </c>
      <c r="M199" s="288"/>
      <c r="N199" s="212">
        <v>1</v>
      </c>
      <c r="O199" s="149"/>
      <c r="P199" s="114">
        <f>3*1</f>
        <v>3</v>
      </c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</row>
    <row r="200" spans="2:32" ht="12.75" customHeight="1" x14ac:dyDescent="0.2">
      <c r="B200" s="21">
        <v>1</v>
      </c>
      <c r="D200" s="114"/>
      <c r="E200" s="114" t="s">
        <v>742</v>
      </c>
      <c r="F200" s="285">
        <v>69077</v>
      </c>
      <c r="G200" s="286"/>
      <c r="H200" s="114"/>
      <c r="I200" s="156"/>
      <c r="J200" s="164"/>
      <c r="K200" s="232" t="s">
        <v>25</v>
      </c>
      <c r="L200" s="287" t="s">
        <v>116</v>
      </c>
      <c r="M200" s="288"/>
      <c r="N200" s="212">
        <v>1</v>
      </c>
      <c r="O200" s="149"/>
      <c r="P200" s="114">
        <f>1.5*1.5</f>
        <v>2.25</v>
      </c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</row>
    <row r="201" spans="2:32" ht="12.75" customHeight="1" x14ac:dyDescent="0.2">
      <c r="B201" s="21">
        <v>1</v>
      </c>
      <c r="D201" s="167"/>
      <c r="E201" s="167"/>
      <c r="F201" s="285"/>
      <c r="G201" s="286"/>
      <c r="H201" s="168"/>
      <c r="I201" s="169"/>
      <c r="J201" s="240"/>
      <c r="K201" s="150"/>
      <c r="L201" s="298"/>
      <c r="M201" s="299"/>
      <c r="N201" s="212"/>
      <c r="O201" s="170"/>
      <c r="P201" s="171"/>
      <c r="Q201" s="171"/>
      <c r="R201" s="171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</row>
    <row r="202" spans="2:32" ht="12.75" customHeight="1" x14ac:dyDescent="0.2">
      <c r="B202" s="21">
        <v>1</v>
      </c>
      <c r="C202" s="5">
        <f>904+18</f>
        <v>922</v>
      </c>
      <c r="D202" s="114" t="s">
        <v>469</v>
      </c>
      <c r="E202" s="114" t="s">
        <v>744</v>
      </c>
      <c r="F202" s="285"/>
      <c r="G202" s="286"/>
      <c r="H202" s="114"/>
      <c r="I202" s="156"/>
      <c r="J202" s="164"/>
      <c r="K202" s="232" t="s">
        <v>24</v>
      </c>
      <c r="L202" s="298"/>
      <c r="M202" s="299"/>
      <c r="N202" s="212">
        <v>4</v>
      </c>
      <c r="O202" s="149"/>
      <c r="P202" s="114"/>
      <c r="Q202" s="114">
        <v>1</v>
      </c>
      <c r="R202" s="114">
        <v>1</v>
      </c>
      <c r="S202" s="171"/>
      <c r="T202" s="171"/>
      <c r="U202" s="171"/>
      <c r="V202" s="171"/>
      <c r="W202" s="171"/>
      <c r="X202" s="171"/>
      <c r="Y202" s="171"/>
      <c r="Z202" s="171"/>
      <c r="AA202" s="171"/>
      <c r="AB202" s="171"/>
      <c r="AC202" s="171"/>
      <c r="AD202" s="171"/>
      <c r="AE202" s="171"/>
      <c r="AF202" s="171"/>
    </row>
    <row r="203" spans="2:32" ht="12.75" customHeight="1" x14ac:dyDescent="0.2">
      <c r="B203" s="21">
        <v>1</v>
      </c>
      <c r="D203" s="114" t="s">
        <v>470</v>
      </c>
      <c r="E203" s="114" t="s">
        <v>744</v>
      </c>
      <c r="F203" s="285"/>
      <c r="G203" s="286"/>
      <c r="H203" s="114"/>
      <c r="I203" s="156"/>
      <c r="J203" s="164"/>
      <c r="K203" s="232" t="s">
        <v>24</v>
      </c>
      <c r="L203" s="298"/>
      <c r="M203" s="299"/>
      <c r="N203" s="212">
        <v>4</v>
      </c>
      <c r="O203" s="149"/>
      <c r="P203" s="114"/>
      <c r="Q203" s="114">
        <v>1</v>
      </c>
      <c r="R203" s="114">
        <v>1</v>
      </c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</row>
    <row r="204" spans="2:32" ht="12.75" customHeight="1" x14ac:dyDescent="0.2">
      <c r="B204" s="21">
        <v>1</v>
      </c>
      <c r="D204" s="114" t="s">
        <v>471</v>
      </c>
      <c r="E204" s="114" t="s">
        <v>744</v>
      </c>
      <c r="F204" s="285">
        <v>69330</v>
      </c>
      <c r="G204" s="286"/>
      <c r="H204" s="114"/>
      <c r="I204" s="156"/>
      <c r="J204" s="164"/>
      <c r="K204" s="232" t="s">
        <v>24</v>
      </c>
      <c r="L204" s="287" t="s">
        <v>132</v>
      </c>
      <c r="M204" s="288"/>
      <c r="N204" s="212">
        <v>4</v>
      </c>
      <c r="O204" s="149"/>
      <c r="P204" s="114">
        <f>1*1</f>
        <v>1</v>
      </c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</row>
    <row r="205" spans="2:32" ht="12.75" customHeight="1" x14ac:dyDescent="0.2">
      <c r="B205" s="21"/>
      <c r="D205" s="114"/>
      <c r="E205" s="114"/>
      <c r="F205" s="285"/>
      <c r="G205" s="286"/>
      <c r="H205" s="114"/>
      <c r="I205" s="156"/>
      <c r="J205" s="164"/>
      <c r="K205" s="232"/>
      <c r="L205" s="287"/>
      <c r="M205" s="288"/>
      <c r="N205" s="212"/>
      <c r="O205" s="149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</row>
    <row r="206" spans="2:32" ht="12.75" customHeight="1" x14ac:dyDescent="0.2">
      <c r="B206" s="21">
        <v>1</v>
      </c>
      <c r="C206" s="5">
        <f>905+18</f>
        <v>923</v>
      </c>
      <c r="D206" s="114" t="s">
        <v>684</v>
      </c>
      <c r="E206" s="114" t="s">
        <v>745</v>
      </c>
      <c r="F206" s="285"/>
      <c r="G206" s="286"/>
      <c r="H206" s="114"/>
      <c r="I206" s="156"/>
      <c r="J206" s="164"/>
      <c r="K206" s="232" t="s">
        <v>24</v>
      </c>
      <c r="L206" s="287"/>
      <c r="M206" s="288"/>
      <c r="N206" s="212">
        <v>4</v>
      </c>
      <c r="O206" s="149"/>
      <c r="P206" s="114"/>
      <c r="Q206" s="114">
        <v>1</v>
      </c>
      <c r="R206" s="114">
        <v>1</v>
      </c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</row>
    <row r="207" spans="2:32" ht="12.75" customHeight="1" x14ac:dyDescent="0.2">
      <c r="B207" s="21"/>
      <c r="D207" s="114"/>
      <c r="E207" s="114"/>
      <c r="F207" s="285"/>
      <c r="G207" s="286"/>
      <c r="H207" s="114"/>
      <c r="I207" s="156"/>
      <c r="J207" s="164"/>
      <c r="K207" s="232"/>
      <c r="L207" s="287"/>
      <c r="M207" s="288"/>
      <c r="N207" s="212"/>
      <c r="O207" s="149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</row>
    <row r="208" spans="2:32" ht="12.75" customHeight="1" x14ac:dyDescent="0.2">
      <c r="B208" s="21">
        <v>1</v>
      </c>
      <c r="C208" s="5">
        <f>906+18</f>
        <v>924</v>
      </c>
      <c r="D208" s="114" t="s">
        <v>472</v>
      </c>
      <c r="E208" s="114" t="s">
        <v>746</v>
      </c>
      <c r="F208" s="285"/>
      <c r="G208" s="286"/>
      <c r="H208" s="114"/>
      <c r="I208" s="156"/>
      <c r="J208" s="164"/>
      <c r="K208" s="232" t="s">
        <v>25</v>
      </c>
      <c r="L208" s="287"/>
      <c r="M208" s="288"/>
      <c r="N208" s="212">
        <v>4</v>
      </c>
      <c r="O208" s="149"/>
      <c r="P208" s="114"/>
      <c r="Q208" s="114">
        <v>1</v>
      </c>
      <c r="R208" s="114">
        <v>1</v>
      </c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</row>
    <row r="209" spans="2:32" ht="12.75" customHeight="1" x14ac:dyDescent="0.2">
      <c r="B209" s="21">
        <v>1</v>
      </c>
      <c r="D209" s="114" t="s">
        <v>473</v>
      </c>
      <c r="E209" s="114" t="s">
        <v>746</v>
      </c>
      <c r="F209" s="285"/>
      <c r="G209" s="286"/>
      <c r="H209" s="114"/>
      <c r="I209" s="156"/>
      <c r="J209" s="164"/>
      <c r="K209" s="232" t="s">
        <v>25</v>
      </c>
      <c r="L209" s="287"/>
      <c r="M209" s="288"/>
      <c r="N209" s="212">
        <v>4</v>
      </c>
      <c r="O209" s="149"/>
      <c r="P209" s="114"/>
      <c r="Q209" s="114">
        <v>1</v>
      </c>
      <c r="R209" s="114">
        <v>1</v>
      </c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</row>
    <row r="210" spans="2:32" ht="12.75" customHeight="1" x14ac:dyDescent="0.2">
      <c r="B210" s="21">
        <v>1</v>
      </c>
      <c r="D210" s="114" t="s">
        <v>474</v>
      </c>
      <c r="E210" s="114" t="s">
        <v>746</v>
      </c>
      <c r="F210" s="285"/>
      <c r="G210" s="286"/>
      <c r="H210" s="114"/>
      <c r="I210" s="156"/>
      <c r="J210" s="164"/>
      <c r="K210" s="232" t="s">
        <v>25</v>
      </c>
      <c r="L210" s="287"/>
      <c r="M210" s="288"/>
      <c r="N210" s="212">
        <v>4</v>
      </c>
      <c r="O210" s="149"/>
      <c r="P210" s="114"/>
      <c r="Q210" s="114">
        <v>1</v>
      </c>
      <c r="R210" s="114">
        <v>1</v>
      </c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</row>
    <row r="211" spans="2:32" ht="12.75" customHeight="1" x14ac:dyDescent="0.2">
      <c r="B211" s="21">
        <v>1</v>
      </c>
      <c r="D211" s="114" t="s">
        <v>475</v>
      </c>
      <c r="E211" s="114" t="s">
        <v>746</v>
      </c>
      <c r="F211" s="285">
        <v>70478</v>
      </c>
      <c r="G211" s="286"/>
      <c r="H211" s="114"/>
      <c r="I211" s="156"/>
      <c r="J211" s="164"/>
      <c r="K211" s="232" t="s">
        <v>25</v>
      </c>
      <c r="L211" s="287" t="s">
        <v>134</v>
      </c>
      <c r="M211" s="288"/>
      <c r="N211" s="212">
        <v>4</v>
      </c>
      <c r="O211" s="149">
        <f>3.5+7+4.5</f>
        <v>15</v>
      </c>
      <c r="P211" s="114">
        <f>3*3</f>
        <v>9</v>
      </c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</row>
    <row r="212" spans="2:32" ht="12.75" customHeight="1" x14ac:dyDescent="0.2">
      <c r="B212" s="21">
        <v>1</v>
      </c>
      <c r="D212" s="114" t="s">
        <v>476</v>
      </c>
      <c r="E212" s="114" t="s">
        <v>746</v>
      </c>
      <c r="F212" s="285">
        <v>70630</v>
      </c>
      <c r="G212" s="286"/>
      <c r="H212" s="114"/>
      <c r="I212" s="156"/>
      <c r="J212" s="164"/>
      <c r="K212" s="232" t="s">
        <v>25</v>
      </c>
      <c r="L212" s="287" t="s">
        <v>98</v>
      </c>
      <c r="M212" s="288"/>
      <c r="N212" s="212">
        <v>4</v>
      </c>
      <c r="O212" s="149">
        <f>3.5+7+3</f>
        <v>13.5</v>
      </c>
      <c r="P212" s="114">
        <f>(3*3)</f>
        <v>9</v>
      </c>
      <c r="Q212" s="114"/>
      <c r="R212" s="114"/>
      <c r="S212" s="114"/>
      <c r="T212" s="114"/>
      <c r="U212" s="114"/>
      <c r="V212" s="114"/>
      <c r="W212" s="114"/>
      <c r="X212" s="114">
        <v>1</v>
      </c>
      <c r="Y212" s="114"/>
      <c r="Z212" s="114"/>
      <c r="AA212" s="114"/>
      <c r="AB212" s="114"/>
      <c r="AC212" s="114"/>
      <c r="AD212" s="114"/>
      <c r="AE212" s="114"/>
      <c r="AF212" s="114"/>
    </row>
    <row r="213" spans="2:32" ht="12.75" customHeight="1" x14ac:dyDescent="0.2">
      <c r="B213" s="21">
        <v>1</v>
      </c>
      <c r="D213" s="114" t="s">
        <v>477</v>
      </c>
      <c r="E213" s="114" t="s">
        <v>746</v>
      </c>
      <c r="F213" s="285">
        <v>70689</v>
      </c>
      <c r="G213" s="286"/>
      <c r="H213" s="114"/>
      <c r="I213" s="156"/>
      <c r="J213" s="164"/>
      <c r="K213" s="232" t="s">
        <v>25</v>
      </c>
      <c r="L213" s="287" t="s">
        <v>98</v>
      </c>
      <c r="M213" s="288"/>
      <c r="N213" s="212">
        <v>4</v>
      </c>
      <c r="O213" s="149">
        <f>3.5+7+3</f>
        <v>13.5</v>
      </c>
      <c r="P213" s="114">
        <f>(3*3)</f>
        <v>9</v>
      </c>
      <c r="Q213" s="114"/>
      <c r="R213" s="114"/>
      <c r="S213" s="114"/>
      <c r="T213" s="114"/>
      <c r="U213" s="114"/>
      <c r="V213" s="114"/>
      <c r="W213" s="114"/>
      <c r="X213" s="114">
        <v>1</v>
      </c>
      <c r="Y213" s="114"/>
      <c r="Z213" s="114"/>
      <c r="AA213" s="114"/>
      <c r="AB213" s="114"/>
      <c r="AC213" s="114"/>
      <c r="AD213" s="114"/>
      <c r="AE213" s="114"/>
      <c r="AF213" s="114"/>
    </row>
    <row r="214" spans="2:32" ht="12.75" customHeight="1" x14ac:dyDescent="0.2">
      <c r="B214" s="21"/>
      <c r="D214" s="114"/>
      <c r="E214" s="114"/>
      <c r="F214" s="285"/>
      <c r="G214" s="286"/>
      <c r="H214" s="114"/>
      <c r="I214" s="156"/>
      <c r="J214" s="164"/>
      <c r="K214" s="232"/>
      <c r="L214" s="287"/>
      <c r="M214" s="288"/>
      <c r="N214" s="212"/>
      <c r="O214" s="149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</row>
    <row r="215" spans="2:32" ht="12.75" customHeight="1" x14ac:dyDescent="0.2">
      <c r="B215" s="21">
        <v>1</v>
      </c>
      <c r="C215" s="5">
        <f>907+18</f>
        <v>925</v>
      </c>
      <c r="D215" s="114" t="s">
        <v>480</v>
      </c>
      <c r="E215" s="114" t="s">
        <v>747</v>
      </c>
      <c r="F215" s="285"/>
      <c r="G215" s="286"/>
      <c r="H215" s="114"/>
      <c r="I215" s="156"/>
      <c r="J215" s="164"/>
      <c r="K215" s="232" t="s">
        <v>25</v>
      </c>
      <c r="L215" s="287"/>
      <c r="M215" s="288"/>
      <c r="N215" s="212">
        <v>4</v>
      </c>
      <c r="O215" s="149"/>
      <c r="P215" s="114"/>
      <c r="Q215" s="114">
        <v>1</v>
      </c>
      <c r="R215" s="114">
        <v>1</v>
      </c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</row>
    <row r="216" spans="2:32" ht="12.75" customHeight="1" x14ac:dyDescent="0.2">
      <c r="B216" s="21">
        <v>1</v>
      </c>
      <c r="D216" s="114" t="s">
        <v>481</v>
      </c>
      <c r="E216" s="114" t="s">
        <v>747</v>
      </c>
      <c r="F216" s="285"/>
      <c r="G216" s="286"/>
      <c r="H216" s="114"/>
      <c r="I216" s="156"/>
      <c r="J216" s="164"/>
      <c r="K216" s="232" t="s">
        <v>25</v>
      </c>
      <c r="L216" s="287"/>
      <c r="M216" s="288"/>
      <c r="N216" s="230">
        <v>4</v>
      </c>
      <c r="O216" s="149"/>
      <c r="P216" s="114"/>
      <c r="Q216" s="114">
        <v>1</v>
      </c>
      <c r="R216" s="114">
        <v>1</v>
      </c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</row>
    <row r="217" spans="2:32" ht="12.75" customHeight="1" x14ac:dyDescent="0.2">
      <c r="B217" s="21">
        <v>1</v>
      </c>
      <c r="D217" s="114" t="s">
        <v>478</v>
      </c>
      <c r="E217" s="114" t="s">
        <v>747</v>
      </c>
      <c r="F217" s="285">
        <v>71046</v>
      </c>
      <c r="G217" s="286"/>
      <c r="H217" s="114"/>
      <c r="I217" s="156"/>
      <c r="J217" s="164"/>
      <c r="K217" s="232" t="s">
        <v>24</v>
      </c>
      <c r="L217" s="287" t="s">
        <v>101</v>
      </c>
      <c r="M217" s="288"/>
      <c r="N217" s="212">
        <v>4</v>
      </c>
      <c r="O217" s="149">
        <f>3.5+7+4.5+1</f>
        <v>16</v>
      </c>
      <c r="P217" s="150">
        <f>3*3</f>
        <v>9</v>
      </c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</row>
    <row r="218" spans="2:32" ht="12.75" customHeight="1" x14ac:dyDescent="0.2">
      <c r="B218" s="21">
        <v>1</v>
      </c>
      <c r="D218" s="114"/>
      <c r="E218" s="114" t="s">
        <v>747</v>
      </c>
      <c r="F218" s="285">
        <v>71046</v>
      </c>
      <c r="G218" s="286"/>
      <c r="H218" s="114"/>
      <c r="I218" s="156"/>
      <c r="J218" s="164"/>
      <c r="K218" s="232" t="s">
        <v>24</v>
      </c>
      <c r="L218" s="287" t="s">
        <v>100</v>
      </c>
      <c r="M218" s="288"/>
      <c r="N218" s="212">
        <v>4</v>
      </c>
      <c r="O218" s="149"/>
      <c r="P218" s="114">
        <f>2*1</f>
        <v>2</v>
      </c>
      <c r="Q218" s="114"/>
      <c r="R218" s="114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72"/>
    </row>
    <row r="219" spans="2:32" ht="12.75" customHeight="1" x14ac:dyDescent="0.2">
      <c r="B219" s="21">
        <v>1</v>
      </c>
      <c r="D219" s="114" t="s">
        <v>479</v>
      </c>
      <c r="E219" s="114" t="s">
        <v>747</v>
      </c>
      <c r="F219" s="285">
        <v>71061</v>
      </c>
      <c r="G219" s="286"/>
      <c r="H219" s="114"/>
      <c r="I219" s="156"/>
      <c r="J219" s="164"/>
      <c r="K219" s="232" t="s">
        <v>24</v>
      </c>
      <c r="L219" s="287" t="s">
        <v>124</v>
      </c>
      <c r="M219" s="288"/>
      <c r="N219" s="212">
        <v>4</v>
      </c>
      <c r="O219" s="149">
        <f>3.5+7+2.5</f>
        <v>13</v>
      </c>
      <c r="P219" s="114">
        <f>2*2.5</f>
        <v>5</v>
      </c>
      <c r="Q219" s="114"/>
      <c r="R219" s="114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</row>
    <row r="220" spans="2:32" ht="12.75" customHeight="1" x14ac:dyDescent="0.2">
      <c r="B220" s="21">
        <v>1</v>
      </c>
      <c r="C220" s="66"/>
      <c r="D220" s="114" t="s">
        <v>483</v>
      </c>
      <c r="E220" s="114" t="s">
        <v>747</v>
      </c>
      <c r="F220" s="285">
        <v>71063</v>
      </c>
      <c r="G220" s="286"/>
      <c r="H220" s="114"/>
      <c r="I220" s="156"/>
      <c r="J220" s="164"/>
      <c r="K220" s="232" t="s">
        <v>25</v>
      </c>
      <c r="L220" s="287" t="s">
        <v>124</v>
      </c>
      <c r="M220" s="288"/>
      <c r="N220" s="212">
        <v>4</v>
      </c>
      <c r="O220" s="149">
        <f>3.5+7+2.5</f>
        <v>13</v>
      </c>
      <c r="P220" s="114">
        <f>2*2.5</f>
        <v>5</v>
      </c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</row>
    <row r="221" spans="2:32" ht="12.75" customHeight="1" x14ac:dyDescent="0.2">
      <c r="B221" s="21">
        <v>1</v>
      </c>
      <c r="D221" s="114" t="s">
        <v>484</v>
      </c>
      <c r="E221" s="114" t="s">
        <v>747</v>
      </c>
      <c r="F221" s="285">
        <v>71111</v>
      </c>
      <c r="G221" s="286"/>
      <c r="H221" s="114"/>
      <c r="I221" s="156"/>
      <c r="J221" s="164"/>
      <c r="K221" s="232" t="s">
        <v>25</v>
      </c>
      <c r="L221" s="287" t="s">
        <v>101</v>
      </c>
      <c r="M221" s="288"/>
      <c r="N221" s="216">
        <v>4</v>
      </c>
      <c r="O221" s="149">
        <f>3.5+7+4.5+1</f>
        <v>16</v>
      </c>
      <c r="P221" s="150">
        <f>3*3</f>
        <v>9</v>
      </c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</row>
    <row r="222" spans="2:32" ht="12.75" customHeight="1" x14ac:dyDescent="0.2">
      <c r="B222" s="21">
        <v>1</v>
      </c>
      <c r="D222" s="155"/>
      <c r="E222" s="114" t="s">
        <v>747</v>
      </c>
      <c r="F222" s="285">
        <v>71111</v>
      </c>
      <c r="G222" s="286"/>
      <c r="H222" s="155"/>
      <c r="I222" s="165"/>
      <c r="J222" s="241"/>
      <c r="K222" s="232" t="s">
        <v>25</v>
      </c>
      <c r="L222" s="287" t="s">
        <v>100</v>
      </c>
      <c r="M222" s="288"/>
      <c r="N222" s="212">
        <v>4</v>
      </c>
      <c r="O222" s="149"/>
      <c r="P222" s="114">
        <f>2*1</f>
        <v>2</v>
      </c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</row>
    <row r="223" spans="2:32" ht="12.75" customHeight="1" x14ac:dyDescent="0.2">
      <c r="B223" s="21"/>
      <c r="D223" s="155"/>
      <c r="E223" s="155"/>
      <c r="F223" s="285"/>
      <c r="G223" s="286"/>
      <c r="H223" s="155"/>
      <c r="I223" s="165"/>
      <c r="J223" s="241"/>
      <c r="K223" s="232"/>
      <c r="L223" s="287"/>
      <c r="M223" s="288"/>
      <c r="N223" s="212"/>
      <c r="O223" s="149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</row>
    <row r="224" spans="2:32" ht="12.75" customHeight="1" x14ac:dyDescent="0.2">
      <c r="B224" s="21">
        <v>1</v>
      </c>
      <c r="C224" s="5">
        <f>910+18</f>
        <v>928</v>
      </c>
      <c r="D224" s="114" t="s">
        <v>482</v>
      </c>
      <c r="E224" s="114" t="s">
        <v>750</v>
      </c>
      <c r="F224" s="285">
        <v>72645</v>
      </c>
      <c r="G224" s="286"/>
      <c r="H224" s="114"/>
      <c r="I224" s="156"/>
      <c r="J224" s="164"/>
      <c r="K224" s="232" t="s">
        <v>24</v>
      </c>
      <c r="L224" s="287"/>
      <c r="M224" s="288"/>
      <c r="N224" s="212">
        <v>4</v>
      </c>
      <c r="O224" s="149"/>
      <c r="P224" s="114"/>
      <c r="Q224" s="114">
        <v>2</v>
      </c>
      <c r="R224" s="114">
        <v>1</v>
      </c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</row>
    <row r="225" spans="2:32" ht="12.75" customHeight="1" x14ac:dyDescent="0.2">
      <c r="B225" s="21"/>
      <c r="D225" s="114"/>
      <c r="E225" s="114"/>
      <c r="F225" s="285"/>
      <c r="G225" s="286"/>
      <c r="H225" s="114"/>
      <c r="I225" s="156"/>
      <c r="J225" s="164"/>
      <c r="K225" s="232"/>
      <c r="L225" s="287"/>
      <c r="M225" s="288"/>
      <c r="N225" s="212"/>
      <c r="O225" s="149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</row>
    <row r="226" spans="2:32" ht="12.75" customHeight="1" x14ac:dyDescent="0.2">
      <c r="B226" s="21">
        <v>1</v>
      </c>
      <c r="C226" s="5">
        <f>911+18</f>
        <v>929</v>
      </c>
      <c r="D226" s="114" t="s">
        <v>485</v>
      </c>
      <c r="E226" s="114" t="s">
        <v>751</v>
      </c>
      <c r="F226" s="285">
        <v>172637</v>
      </c>
      <c r="G226" s="286"/>
      <c r="H226" s="114"/>
      <c r="I226" s="156"/>
      <c r="J226" s="164"/>
      <c r="K226" s="232" t="s">
        <v>25</v>
      </c>
      <c r="L226" s="287"/>
      <c r="M226" s="288"/>
      <c r="N226" s="212">
        <v>1</v>
      </c>
      <c r="O226" s="149"/>
      <c r="P226" s="114"/>
      <c r="Q226" s="114">
        <v>1</v>
      </c>
      <c r="R226" s="114">
        <v>1</v>
      </c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</row>
    <row r="227" spans="2:32" ht="12.75" customHeight="1" x14ac:dyDescent="0.2">
      <c r="B227" s="21">
        <v>1</v>
      </c>
      <c r="D227" s="114" t="s">
        <v>486</v>
      </c>
      <c r="E227" s="114" t="s">
        <v>751</v>
      </c>
      <c r="F227" s="285"/>
      <c r="G227" s="286"/>
      <c r="H227" s="114"/>
      <c r="I227" s="156"/>
      <c r="J227" s="164"/>
      <c r="K227" s="232" t="s">
        <v>24</v>
      </c>
      <c r="L227" s="287"/>
      <c r="M227" s="288"/>
      <c r="N227" s="212">
        <v>1</v>
      </c>
      <c r="O227" s="149"/>
      <c r="P227" s="114"/>
      <c r="Q227" s="114">
        <v>2</v>
      </c>
      <c r="R227" s="114">
        <v>1</v>
      </c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</row>
    <row r="228" spans="2:32" ht="12.75" customHeight="1" x14ac:dyDescent="0.2">
      <c r="B228" s="21">
        <v>1</v>
      </c>
      <c r="D228" s="114" t="s">
        <v>487</v>
      </c>
      <c r="E228" s="114" t="s">
        <v>751</v>
      </c>
      <c r="F228" s="285"/>
      <c r="G228" s="286"/>
      <c r="H228" s="114"/>
      <c r="I228" s="156"/>
      <c r="J228" s="164"/>
      <c r="K228" s="232" t="s">
        <v>25</v>
      </c>
      <c r="L228" s="287"/>
      <c r="M228" s="288"/>
      <c r="N228" s="212">
        <v>1</v>
      </c>
      <c r="O228" s="149"/>
      <c r="P228" s="114"/>
      <c r="Q228" s="114">
        <v>2</v>
      </c>
      <c r="R228" s="114">
        <v>1</v>
      </c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</row>
    <row r="229" spans="2:32" ht="12.75" customHeight="1" x14ac:dyDescent="0.2">
      <c r="B229" s="21">
        <v>1</v>
      </c>
      <c r="D229" s="114" t="s">
        <v>488</v>
      </c>
      <c r="E229" s="114" t="s">
        <v>751</v>
      </c>
      <c r="F229" s="285">
        <v>172637</v>
      </c>
      <c r="G229" s="286"/>
      <c r="H229" s="114"/>
      <c r="I229" s="156"/>
      <c r="J229" s="164"/>
      <c r="K229" s="232" t="s">
        <v>25</v>
      </c>
      <c r="L229" s="287" t="s">
        <v>109</v>
      </c>
      <c r="M229" s="288"/>
      <c r="N229" s="212">
        <v>1</v>
      </c>
      <c r="O229" s="149">
        <f>3.5+7+2.5</f>
        <v>13</v>
      </c>
      <c r="P229" s="114">
        <f>2*2.5</f>
        <v>5</v>
      </c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</row>
    <row r="230" spans="2:32" ht="12.75" customHeight="1" x14ac:dyDescent="0.2">
      <c r="B230" s="21">
        <v>1</v>
      </c>
      <c r="D230" s="114" t="s">
        <v>489</v>
      </c>
      <c r="E230" s="114" t="s">
        <v>751</v>
      </c>
      <c r="F230" s="285">
        <v>172688</v>
      </c>
      <c r="G230" s="286"/>
      <c r="H230" s="114"/>
      <c r="I230" s="156"/>
      <c r="J230" s="164"/>
      <c r="K230" s="232" t="s">
        <v>24</v>
      </c>
      <c r="L230" s="287" t="s">
        <v>135</v>
      </c>
      <c r="M230" s="288"/>
      <c r="N230" s="212">
        <v>1</v>
      </c>
      <c r="O230" s="149">
        <f>3.5+7+4.5+1.5</f>
        <v>16.5</v>
      </c>
      <c r="P230" s="114">
        <f>3*3</f>
        <v>9</v>
      </c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</row>
    <row r="231" spans="2:32" ht="12.75" customHeight="1" x14ac:dyDescent="0.2">
      <c r="B231" s="21">
        <v>1</v>
      </c>
      <c r="D231" s="114"/>
      <c r="E231" s="114" t="s">
        <v>751</v>
      </c>
      <c r="F231" s="285">
        <v>172688</v>
      </c>
      <c r="G231" s="286"/>
      <c r="H231" s="114"/>
      <c r="I231" s="156"/>
      <c r="J231" s="164"/>
      <c r="K231" s="232" t="s">
        <v>24</v>
      </c>
      <c r="L231" s="287" t="s">
        <v>116</v>
      </c>
      <c r="M231" s="288"/>
      <c r="N231" s="212">
        <v>1</v>
      </c>
      <c r="O231" s="149"/>
      <c r="P231" s="114">
        <f>1.5*1.5</f>
        <v>2.25</v>
      </c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</row>
    <row r="232" spans="2:32" ht="12.75" customHeight="1" x14ac:dyDescent="0.2">
      <c r="B232" s="21"/>
      <c r="D232" s="114"/>
      <c r="E232" s="114"/>
      <c r="F232" s="285"/>
      <c r="G232" s="286"/>
      <c r="H232" s="114"/>
      <c r="I232" s="156"/>
      <c r="J232" s="164"/>
      <c r="K232" s="232"/>
      <c r="L232" s="156"/>
      <c r="M232" s="157"/>
      <c r="N232" s="212"/>
      <c r="O232" s="149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</row>
    <row r="233" spans="2:32" ht="12.75" customHeight="1" x14ac:dyDescent="0.2">
      <c r="B233" s="21"/>
      <c r="D233" s="114"/>
      <c r="E233" s="114"/>
      <c r="F233" s="285"/>
      <c r="G233" s="286"/>
      <c r="H233" s="139"/>
      <c r="I233" s="287"/>
      <c r="J233" s="289"/>
      <c r="K233" s="232"/>
      <c r="L233" s="287"/>
      <c r="M233" s="288"/>
      <c r="N233" s="212"/>
      <c r="O233" s="149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</row>
    <row r="234" spans="2:32" ht="12.75" customHeight="1" x14ac:dyDescent="0.2">
      <c r="B234" s="21"/>
      <c r="D234" s="114"/>
      <c r="E234" s="114"/>
      <c r="F234" s="285"/>
      <c r="G234" s="286"/>
      <c r="H234" s="139"/>
      <c r="I234" s="287"/>
      <c r="J234" s="289"/>
      <c r="K234" s="232"/>
      <c r="L234" s="287"/>
      <c r="M234" s="288"/>
      <c r="N234" s="212"/>
      <c r="O234" s="149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</row>
    <row r="235" spans="2:32" ht="12.75" customHeight="1" x14ac:dyDescent="0.2">
      <c r="B235" s="21"/>
      <c r="D235" s="114"/>
      <c r="E235" s="114"/>
      <c r="F235" s="285"/>
      <c r="G235" s="286"/>
      <c r="H235" s="114"/>
      <c r="I235" s="287"/>
      <c r="J235" s="289"/>
      <c r="K235" s="232"/>
      <c r="L235" s="287"/>
      <c r="M235" s="288"/>
      <c r="N235" s="212"/>
      <c r="O235" s="149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</row>
    <row r="236" spans="2:32" ht="12.75" customHeight="1" x14ac:dyDescent="0.2">
      <c r="B236" s="21"/>
      <c r="D236" s="114"/>
      <c r="E236" s="114"/>
      <c r="F236" s="285"/>
      <c r="G236" s="286"/>
      <c r="H236" s="114"/>
      <c r="I236" s="287"/>
      <c r="J236" s="289"/>
      <c r="K236" s="232"/>
      <c r="L236" s="287"/>
      <c r="M236" s="288"/>
      <c r="N236" s="212"/>
      <c r="O236" s="149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</row>
    <row r="237" spans="2:32" ht="12.75" customHeight="1" x14ac:dyDescent="0.2">
      <c r="B237" s="21"/>
      <c r="D237" s="114"/>
      <c r="E237" s="114"/>
      <c r="F237" s="285"/>
      <c r="G237" s="286"/>
      <c r="H237" s="114"/>
      <c r="I237" s="287"/>
      <c r="J237" s="289"/>
      <c r="K237" s="232"/>
      <c r="L237" s="287"/>
      <c r="M237" s="288"/>
      <c r="N237" s="212"/>
      <c r="O237" s="149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</row>
    <row r="238" spans="2:32" ht="12.75" customHeight="1" x14ac:dyDescent="0.2">
      <c r="B238" s="21"/>
      <c r="D238" s="114"/>
      <c r="E238" s="114"/>
      <c r="F238" s="285"/>
      <c r="G238" s="286"/>
      <c r="H238" s="114"/>
      <c r="I238" s="287"/>
      <c r="J238" s="289"/>
      <c r="K238" s="232"/>
      <c r="L238" s="287"/>
      <c r="M238" s="288"/>
      <c r="N238" s="212"/>
      <c r="O238" s="149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</row>
    <row r="239" spans="2:32" ht="12.75" customHeight="1" x14ac:dyDescent="0.2">
      <c r="B239" s="21"/>
      <c r="D239" s="114"/>
      <c r="E239" s="114"/>
      <c r="F239" s="285"/>
      <c r="G239" s="286"/>
      <c r="H239" s="114"/>
      <c r="I239" s="287"/>
      <c r="J239" s="289"/>
      <c r="K239" s="232"/>
      <c r="L239" s="287"/>
      <c r="M239" s="288"/>
      <c r="N239" s="212"/>
      <c r="O239" s="149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</row>
    <row r="240" spans="2:32" ht="12.75" customHeight="1" x14ac:dyDescent="0.2">
      <c r="B240" s="21"/>
      <c r="D240" s="114"/>
      <c r="E240" s="114"/>
      <c r="F240" s="285"/>
      <c r="G240" s="286"/>
      <c r="H240" s="114"/>
      <c r="I240" s="287"/>
      <c r="J240" s="289"/>
      <c r="K240" s="232"/>
      <c r="L240" s="287"/>
      <c r="M240" s="288"/>
      <c r="N240" s="212"/>
      <c r="O240" s="139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</row>
    <row r="241" spans="2:34" ht="12.75" customHeight="1" x14ac:dyDescent="0.2">
      <c r="B241" s="21"/>
      <c r="D241" s="114"/>
      <c r="E241" s="114"/>
      <c r="F241" s="147"/>
      <c r="G241" s="148"/>
      <c r="H241" s="114"/>
      <c r="I241" s="156"/>
      <c r="J241" s="164"/>
      <c r="K241" s="232"/>
      <c r="L241" s="156"/>
      <c r="M241" s="157"/>
      <c r="N241" s="212"/>
      <c r="O241" s="139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</row>
    <row r="242" spans="2:34" ht="12.75" customHeight="1" x14ac:dyDescent="0.2">
      <c r="B242" s="21"/>
      <c r="D242" s="114"/>
      <c r="E242" s="114"/>
      <c r="F242" s="147"/>
      <c r="G242" s="148"/>
      <c r="H242" s="114"/>
      <c r="I242" s="156"/>
      <c r="J242" s="164"/>
      <c r="K242" s="232"/>
      <c r="L242" s="156"/>
      <c r="M242" s="157"/>
      <c r="N242" s="212"/>
      <c r="O242" s="139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</row>
    <row r="243" spans="2:34" ht="12.75" customHeight="1" x14ac:dyDescent="0.2">
      <c r="B243" s="21"/>
      <c r="D243" s="114"/>
      <c r="E243" s="114"/>
      <c r="F243" s="147"/>
      <c r="G243" s="148"/>
      <c r="H243" s="114"/>
      <c r="I243" s="156"/>
      <c r="J243" s="164"/>
      <c r="K243" s="232"/>
      <c r="L243" s="156"/>
      <c r="M243" s="157"/>
      <c r="N243" s="212"/>
      <c r="O243" s="139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</row>
    <row r="244" spans="2:34" ht="12.75" customHeight="1" x14ac:dyDescent="0.2">
      <c r="B244" s="21"/>
      <c r="D244" s="114"/>
      <c r="E244" s="114"/>
      <c r="F244" s="147"/>
      <c r="G244" s="148"/>
      <c r="H244" s="114"/>
      <c r="I244" s="156"/>
      <c r="J244" s="164"/>
      <c r="K244" s="232"/>
      <c r="L244" s="156"/>
      <c r="M244" s="157"/>
      <c r="N244" s="212"/>
      <c r="O244" s="139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</row>
    <row r="245" spans="2:34" ht="12.75" customHeight="1" x14ac:dyDescent="0.2">
      <c r="B245" s="21"/>
      <c r="D245" s="114"/>
      <c r="E245" s="114"/>
      <c r="F245" s="147"/>
      <c r="G245" s="148"/>
      <c r="H245" s="114"/>
      <c r="I245" s="156"/>
      <c r="J245" s="164"/>
      <c r="K245" s="232"/>
      <c r="L245" s="156"/>
      <c r="M245" s="157"/>
      <c r="N245" s="212"/>
      <c r="O245" s="139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</row>
    <row r="246" spans="2:34" ht="12.75" customHeight="1" x14ac:dyDescent="0.2">
      <c r="B246" s="21"/>
      <c r="D246" s="114"/>
      <c r="E246" s="114"/>
      <c r="F246" s="147"/>
      <c r="G246" s="148"/>
      <c r="H246" s="114"/>
      <c r="I246" s="156"/>
      <c r="J246" s="164"/>
      <c r="K246" s="232"/>
      <c r="L246" s="156"/>
      <c r="M246" s="157"/>
      <c r="N246" s="212"/>
      <c r="O246" s="139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</row>
    <row r="247" spans="2:34" ht="12.75" customHeight="1" thickBot="1" x14ac:dyDescent="0.25">
      <c r="B247" s="21"/>
      <c r="D247" s="114"/>
      <c r="E247" s="114"/>
      <c r="F247" s="285"/>
      <c r="G247" s="286"/>
      <c r="H247" s="114"/>
      <c r="I247" s="296"/>
      <c r="J247" s="297"/>
      <c r="K247" s="232"/>
      <c r="L247" s="287"/>
      <c r="M247" s="288"/>
      <c r="N247" s="213"/>
      <c r="O247" s="139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</row>
    <row r="248" spans="2:34" ht="12.75" customHeight="1" x14ac:dyDescent="0.2">
      <c r="B248" s="5" t="s">
        <v>11</v>
      </c>
      <c r="D248" s="271" t="s">
        <v>766</v>
      </c>
      <c r="E248" s="272"/>
      <c r="F248" s="272"/>
      <c r="G248" s="272"/>
      <c r="H248" s="272"/>
      <c r="I248" s="272"/>
      <c r="J248" s="272"/>
      <c r="K248" s="272"/>
      <c r="L248" s="272"/>
      <c r="M248" s="272"/>
      <c r="N248" s="291"/>
      <c r="O248" s="160">
        <f>SUM(O188:O247)</f>
        <v>206</v>
      </c>
      <c r="P248" s="160">
        <f t="shared" ref="P248:AF248" si="31">SUM(P188:P247)</f>
        <v>119.5</v>
      </c>
      <c r="Q248" s="160">
        <f t="shared" si="31"/>
        <v>22</v>
      </c>
      <c r="R248" s="160">
        <f t="shared" si="31"/>
        <v>18</v>
      </c>
      <c r="S248" s="160">
        <f t="shared" si="31"/>
        <v>0</v>
      </c>
      <c r="T248" s="160">
        <f t="shared" si="31"/>
        <v>1</v>
      </c>
      <c r="U248" s="160">
        <f t="shared" si="31"/>
        <v>0</v>
      </c>
      <c r="V248" s="160">
        <f t="shared" si="31"/>
        <v>0</v>
      </c>
      <c r="W248" s="160">
        <f t="shared" si="31"/>
        <v>0</v>
      </c>
      <c r="X248" s="160">
        <f t="shared" si="31"/>
        <v>2</v>
      </c>
      <c r="Y248" s="160">
        <f t="shared" si="31"/>
        <v>0</v>
      </c>
      <c r="Z248" s="160">
        <f t="shared" si="31"/>
        <v>0</v>
      </c>
      <c r="AA248" s="160">
        <f t="shared" si="31"/>
        <v>0</v>
      </c>
      <c r="AB248" s="160">
        <f t="shared" si="31"/>
        <v>0</v>
      </c>
      <c r="AC248" s="160">
        <f t="shared" si="31"/>
        <v>0</v>
      </c>
      <c r="AD248" s="160">
        <f t="shared" si="31"/>
        <v>0</v>
      </c>
      <c r="AE248" s="160">
        <f t="shared" si="31"/>
        <v>0</v>
      </c>
      <c r="AF248" s="160">
        <f t="shared" si="31"/>
        <v>0</v>
      </c>
    </row>
    <row r="249" spans="2:34" ht="12.75" customHeight="1" x14ac:dyDescent="0.2">
      <c r="D249" s="94" t="s">
        <v>701</v>
      </c>
      <c r="E249" s="78"/>
      <c r="F249" s="78"/>
      <c r="G249" s="78"/>
      <c r="H249" s="78"/>
      <c r="I249" s="78"/>
      <c r="J249" s="239"/>
      <c r="K249" s="78"/>
      <c r="L249" s="226"/>
      <c r="M249" s="69"/>
      <c r="N249" s="229"/>
      <c r="O249" s="69">
        <f>SUMIF($N188:$N247, 1, O188:O247)</f>
        <v>106</v>
      </c>
      <c r="P249" s="69">
        <f t="shared" ref="P249:AF249" si="32">SUMIF($N188:$N247, 1, P188:P247)</f>
        <v>59.5</v>
      </c>
      <c r="Q249" s="69">
        <f t="shared" si="32"/>
        <v>12</v>
      </c>
      <c r="R249" s="69">
        <f t="shared" si="32"/>
        <v>9</v>
      </c>
      <c r="S249" s="69">
        <f t="shared" si="32"/>
        <v>0</v>
      </c>
      <c r="T249" s="69">
        <f t="shared" si="32"/>
        <v>1</v>
      </c>
      <c r="U249" s="69">
        <f t="shared" si="32"/>
        <v>0</v>
      </c>
      <c r="V249" s="69">
        <f t="shared" si="32"/>
        <v>0</v>
      </c>
      <c r="W249" s="69">
        <f t="shared" si="32"/>
        <v>0</v>
      </c>
      <c r="X249" s="69">
        <f t="shared" si="32"/>
        <v>0</v>
      </c>
      <c r="Y249" s="69">
        <f t="shared" si="32"/>
        <v>0</v>
      </c>
      <c r="Z249" s="69">
        <f t="shared" si="32"/>
        <v>0</v>
      </c>
      <c r="AA249" s="69">
        <f t="shared" si="32"/>
        <v>0</v>
      </c>
      <c r="AB249" s="69">
        <f t="shared" si="32"/>
        <v>0</v>
      </c>
      <c r="AC249" s="69">
        <f t="shared" si="32"/>
        <v>0</v>
      </c>
      <c r="AD249" s="69">
        <f t="shared" si="32"/>
        <v>0</v>
      </c>
      <c r="AE249" s="69">
        <f t="shared" si="32"/>
        <v>0</v>
      </c>
      <c r="AF249" s="69">
        <f t="shared" si="32"/>
        <v>0</v>
      </c>
      <c r="AG249" s="69"/>
      <c r="AH249" s="69"/>
    </row>
    <row r="250" spans="2:34" ht="12.75" customHeight="1" x14ac:dyDescent="0.2">
      <c r="D250" s="94" t="s">
        <v>702</v>
      </c>
      <c r="E250" s="78"/>
      <c r="F250" s="78"/>
      <c r="G250" s="78"/>
      <c r="H250" s="78"/>
      <c r="I250" s="78"/>
      <c r="J250" s="239"/>
      <c r="K250" s="78"/>
      <c r="L250" s="226"/>
      <c r="M250" s="69"/>
      <c r="N250" s="229"/>
      <c r="O250" s="69">
        <f>SUMIF($N188:$N247, 4, O188:O247)</f>
        <v>100</v>
      </c>
      <c r="P250" s="69">
        <f t="shared" ref="P250:AF250" si="33">SUMIF($N188:$N247, 4, P188:P247)</f>
        <v>60</v>
      </c>
      <c r="Q250" s="69">
        <f t="shared" si="33"/>
        <v>10</v>
      </c>
      <c r="R250" s="69">
        <f t="shared" si="33"/>
        <v>9</v>
      </c>
      <c r="S250" s="69">
        <f t="shared" si="33"/>
        <v>0</v>
      </c>
      <c r="T250" s="69">
        <f t="shared" si="33"/>
        <v>0</v>
      </c>
      <c r="U250" s="69">
        <f t="shared" si="33"/>
        <v>0</v>
      </c>
      <c r="V250" s="69">
        <f t="shared" si="33"/>
        <v>0</v>
      </c>
      <c r="W250" s="69">
        <f t="shared" si="33"/>
        <v>0</v>
      </c>
      <c r="X250" s="69">
        <f t="shared" si="33"/>
        <v>2</v>
      </c>
      <c r="Y250" s="69">
        <f t="shared" si="33"/>
        <v>0</v>
      </c>
      <c r="Z250" s="69">
        <f t="shared" si="33"/>
        <v>0</v>
      </c>
      <c r="AA250" s="69">
        <f t="shared" si="33"/>
        <v>0</v>
      </c>
      <c r="AB250" s="69">
        <f t="shared" si="33"/>
        <v>0</v>
      </c>
      <c r="AC250" s="69">
        <f t="shared" si="33"/>
        <v>0</v>
      </c>
      <c r="AD250" s="69">
        <f t="shared" si="33"/>
        <v>0</v>
      </c>
      <c r="AE250" s="69">
        <f t="shared" si="33"/>
        <v>0</v>
      </c>
      <c r="AF250" s="69">
        <f t="shared" si="33"/>
        <v>0</v>
      </c>
      <c r="AG250" s="69"/>
      <c r="AH250" s="69"/>
    </row>
    <row r="251" spans="2:34" ht="12.75" customHeight="1" x14ac:dyDescent="0.2">
      <c r="D251" s="94" t="s">
        <v>703</v>
      </c>
      <c r="E251" s="78"/>
      <c r="F251" s="78"/>
      <c r="G251" s="78"/>
      <c r="H251" s="78"/>
      <c r="I251" s="78"/>
      <c r="J251" s="239"/>
      <c r="K251" s="78"/>
      <c r="L251" s="226"/>
      <c r="M251" s="69"/>
      <c r="N251" s="229"/>
      <c r="O251" s="69">
        <f>SUMIF($N188:$N247, 6, O188:O247)</f>
        <v>0</v>
      </c>
      <c r="P251" s="69">
        <f t="shared" ref="P251:AF251" si="34">SUMIF($N188:$N247, 6, P188:P247)</f>
        <v>0</v>
      </c>
      <c r="Q251" s="69">
        <f t="shared" si="34"/>
        <v>0</v>
      </c>
      <c r="R251" s="69">
        <f t="shared" si="34"/>
        <v>0</v>
      </c>
      <c r="S251" s="69">
        <f t="shared" si="34"/>
        <v>0</v>
      </c>
      <c r="T251" s="69">
        <f t="shared" si="34"/>
        <v>0</v>
      </c>
      <c r="U251" s="69">
        <f t="shared" si="34"/>
        <v>0</v>
      </c>
      <c r="V251" s="69">
        <f t="shared" si="34"/>
        <v>0</v>
      </c>
      <c r="W251" s="69">
        <f t="shared" si="34"/>
        <v>0</v>
      </c>
      <c r="X251" s="69">
        <f t="shared" si="34"/>
        <v>0</v>
      </c>
      <c r="Y251" s="69">
        <f t="shared" si="34"/>
        <v>0</v>
      </c>
      <c r="Z251" s="69">
        <f t="shared" si="34"/>
        <v>0</v>
      </c>
      <c r="AA251" s="69">
        <f t="shared" si="34"/>
        <v>0</v>
      </c>
      <c r="AB251" s="69">
        <f t="shared" si="34"/>
        <v>0</v>
      </c>
      <c r="AC251" s="69">
        <f t="shared" si="34"/>
        <v>0</v>
      </c>
      <c r="AD251" s="69">
        <f t="shared" si="34"/>
        <v>0</v>
      </c>
      <c r="AE251" s="69">
        <f t="shared" si="34"/>
        <v>0</v>
      </c>
      <c r="AF251" s="69">
        <f t="shared" si="34"/>
        <v>0</v>
      </c>
      <c r="AG251" s="69"/>
      <c r="AH251" s="69"/>
    </row>
    <row r="252" spans="2:34" ht="12.75" customHeight="1" thickBot="1" x14ac:dyDescent="0.25"/>
    <row r="253" spans="2:34" ht="12.75" customHeight="1" thickBot="1" x14ac:dyDescent="0.25">
      <c r="B253" s="20" t="s">
        <v>9</v>
      </c>
      <c r="D253" s="295" t="str">
        <f>"SUBSUMMARY SHEET " &amp; B254</f>
        <v>SUBSUMMARY SHEET 4</v>
      </c>
      <c r="E253" s="295"/>
      <c r="F253" s="295"/>
      <c r="G253" s="295"/>
      <c r="H253" s="295"/>
      <c r="I253" s="295"/>
      <c r="J253" s="295"/>
      <c r="K253" s="295"/>
      <c r="L253" s="295"/>
      <c r="M253" s="295"/>
      <c r="N253" s="295"/>
      <c r="O253" s="295"/>
      <c r="P253" s="295"/>
      <c r="Q253" s="295"/>
      <c r="R253" s="295"/>
      <c r="S253" s="295"/>
      <c r="T253" s="295"/>
      <c r="U253" s="295"/>
      <c r="V253" s="295"/>
      <c r="W253" s="295"/>
      <c r="X253" s="295"/>
      <c r="Y253" s="295"/>
      <c r="Z253" s="295"/>
      <c r="AA253" s="295"/>
      <c r="AB253" s="295"/>
      <c r="AC253" s="295"/>
      <c r="AD253" s="295"/>
      <c r="AE253" s="295"/>
      <c r="AF253" s="295"/>
    </row>
    <row r="254" spans="2:34" ht="12.75" customHeight="1" thickBot="1" x14ac:dyDescent="0.25">
      <c r="B254" s="24">
        <v>4</v>
      </c>
      <c r="D254" s="309" t="s">
        <v>7</v>
      </c>
      <c r="E254" s="309"/>
      <c r="F254" s="309"/>
      <c r="G254" s="309"/>
      <c r="H254" s="309"/>
      <c r="I254" s="309"/>
      <c r="J254" s="309"/>
      <c r="K254" s="19"/>
      <c r="L254" s="224"/>
      <c r="M254" s="19"/>
      <c r="N254" s="224"/>
      <c r="O254" s="19" t="s">
        <v>28</v>
      </c>
      <c r="P254" s="19" t="s">
        <v>29</v>
      </c>
      <c r="Q254" s="19" t="s">
        <v>30</v>
      </c>
      <c r="R254" s="19" t="s">
        <v>31</v>
      </c>
      <c r="S254" s="19" t="s">
        <v>682</v>
      </c>
      <c r="T254" s="19" t="s">
        <v>687</v>
      </c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</row>
    <row r="255" spans="2:34" ht="12.75" customHeight="1" thickBot="1" x14ac:dyDescent="0.25">
      <c r="D255" s="310" t="s">
        <v>8</v>
      </c>
      <c r="E255" s="310"/>
      <c r="F255" s="310"/>
      <c r="G255" s="310"/>
      <c r="H255" s="310"/>
      <c r="I255" s="310"/>
      <c r="J255" s="310"/>
      <c r="K255" s="15"/>
      <c r="L255" s="227"/>
      <c r="M255" s="15"/>
      <c r="N255" s="22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2:34" ht="12.75" customHeight="1" x14ac:dyDescent="0.2">
      <c r="B256" s="250" t="s">
        <v>10</v>
      </c>
      <c r="D256" s="253" t="s">
        <v>20</v>
      </c>
      <c r="E256" s="253" t="s">
        <v>21</v>
      </c>
      <c r="F256" s="256" t="s">
        <v>0</v>
      </c>
      <c r="G256" s="257"/>
      <c r="H256" s="257"/>
      <c r="I256" s="257"/>
      <c r="J256" s="312"/>
      <c r="K256" s="300" t="s">
        <v>23</v>
      </c>
      <c r="L256" s="303" t="s">
        <v>568</v>
      </c>
      <c r="M256" s="304"/>
      <c r="N256" s="324" t="s">
        <v>704</v>
      </c>
      <c r="O256" s="161" t="str">
        <f t="shared" ref="O256:R256" si="35">IF(OR(TRIM(O254)=0,TRIM(O254)=""),"",IF(IFERROR(TRIM(INDEX(QryItemNamed,MATCH(TRIM(O254),ITEM,0),2)),"")="Y","SPECIAL",LEFT(IFERROR(TRIM(INDEX(ITEM,MATCH(TRIM(O254),ITEM,0))),""),3)))</f>
        <v>630</v>
      </c>
      <c r="P256" s="145" t="str">
        <f t="shared" si="35"/>
        <v>630</v>
      </c>
      <c r="Q256" s="145" t="str">
        <f t="shared" si="35"/>
        <v>630</v>
      </c>
      <c r="R256" s="145" t="str">
        <f t="shared" si="35"/>
        <v>630</v>
      </c>
      <c r="S256" s="145">
        <v>630</v>
      </c>
      <c r="T256" s="145">
        <v>620</v>
      </c>
      <c r="U256" s="145">
        <v>630</v>
      </c>
      <c r="V256" s="145">
        <v>632</v>
      </c>
      <c r="W256" s="145">
        <v>630</v>
      </c>
      <c r="X256" s="145">
        <v>630</v>
      </c>
      <c r="Y256" s="145"/>
      <c r="Z256" s="145"/>
      <c r="AA256" s="145"/>
      <c r="AB256" s="145"/>
      <c r="AC256" s="145"/>
      <c r="AD256" s="145" t="str">
        <f t="shared" ref="AD256:AF256" si="36">IF(OR(TRIM(AD254)=0,TRIM(AD254)=""),"",IF(IFERROR(TRIM(INDEX(QryItemNamed,MATCH(TRIM(AD254),ITEM,0),2)),"")="Y","SPECIAL",LEFT(IFERROR(TRIM(INDEX(ITEM,MATCH(TRIM(AD254),ITEM,0))),""),3)))</f>
        <v/>
      </c>
      <c r="AE256" s="145" t="str">
        <f t="shared" si="36"/>
        <v/>
      </c>
      <c r="AF256" s="145" t="str">
        <f t="shared" si="36"/>
        <v/>
      </c>
    </row>
    <row r="257" spans="2:32" ht="12.75" customHeight="1" x14ac:dyDescent="0.2">
      <c r="B257" s="251"/>
      <c r="D257" s="254"/>
      <c r="E257" s="254"/>
      <c r="F257" s="258"/>
      <c r="G257" s="259"/>
      <c r="H257" s="259"/>
      <c r="I257" s="259"/>
      <c r="J257" s="313"/>
      <c r="K257" s="301"/>
      <c r="L257" s="305"/>
      <c r="M257" s="306"/>
      <c r="N257" s="325"/>
      <c r="O257" s="311" t="str">
        <f t="shared" ref="O257:R257" si="37">IF(OR(TRIM(O254)=0,TRIM(O254)=""),IF(O255="","",O255),IF(IFERROR(TRIM(INDEX(QryItemNamed,MATCH(TRIM(O254),ITEM,0),2)),"")="Y",TRIM(RIGHT(IFERROR(TRIM(INDEX(QryItemNamed,MATCH(TRIM(O254),ITEM,0),4)),"123456789012"),LEN(IFERROR(TRIM(INDEX(QryItemNamed,MATCH(TRIM(O254),ITEM,0),4)),"123456789012"))-9))&amp;O255,IFERROR(TRIM(INDEX(QryItemNamed,MATCH(TRIM(O254),ITEM,0),4))&amp;O255,"ITEM CODE DOES NOT EXIST IN ITEM MASTER")))</f>
        <v>GROUND MOUNTED SUPPORT, NO. 3 POST</v>
      </c>
      <c r="P257" s="290" t="str">
        <f t="shared" si="37"/>
        <v>SIGN, FLAT SHEET</v>
      </c>
      <c r="Q257" s="290" t="str">
        <f t="shared" si="37"/>
        <v>REMOVAL OF GROUND MOUNTED SIGN AND DISPOSAL</v>
      </c>
      <c r="R257" s="290" t="str">
        <f t="shared" si="37"/>
        <v>REMOVAL OF GROUND MOUNTED POST SUPPORT AND DISPOSAL</v>
      </c>
      <c r="S257" s="290" t="str">
        <f t="shared" ref="S257" si="38">IF(OR(TRIM(S254)=0,TRIM(S254)=""),IF(S255="","",S255),IF(IFERROR(TRIM(INDEX(QryItemNamed,MATCH(TRIM(S254),ITEM,0),2)),"")="Y",TRIM(RIGHT(IFERROR(TRIM(INDEX(QryItemNamed,MATCH(TRIM(S254),ITEM,0),4)),"123456789012"),LEN(IFERROR(TRIM(INDEX(QryItemNamed,MATCH(TRIM(S254),ITEM,0),4)),"123456789012"))-9))&amp;S255,IFERROR(TRIM(INDEX(QryItemNamed,MATCH(TRIM(S254),ITEM,0),4))&amp;S255,"ITEM CODE DOES NOT EXIST IN ITEM MASTER")))</f>
        <v>SIGN SUPPORT ASSEMBLY, POLE MOUNTED</v>
      </c>
      <c r="T257" s="244" t="s">
        <v>697</v>
      </c>
      <c r="U257" s="278" t="s">
        <v>690</v>
      </c>
      <c r="V257" s="278" t="s">
        <v>691</v>
      </c>
      <c r="W257" s="278" t="s">
        <v>768</v>
      </c>
      <c r="X257" s="278" t="s">
        <v>710</v>
      </c>
      <c r="Y257" s="278"/>
      <c r="Z257" s="278"/>
      <c r="AA257" s="290"/>
      <c r="AB257" s="268"/>
      <c r="AC257" s="290"/>
      <c r="AD257" s="278" t="str">
        <f t="shared" ref="AD257:AF257" si="39">IF(OR(TRIM(AD254)=0,TRIM(AD254)=""),IF(AD255="","",AD255),IF(IFERROR(TRIM(INDEX(QryItemNamed,MATCH(TRIM(AD254),ITEM,0),2)),"")="Y",TRIM(RIGHT(IFERROR(TRIM(INDEX(QryItemNamed,MATCH(TRIM(AD254),ITEM,0),4)),"123456789012"),LEN(IFERROR(TRIM(INDEX(QryItemNamed,MATCH(TRIM(AD254),ITEM,0),4)),"123456789012"))-9))&amp;AD255,IFERROR(TRIM(INDEX(QryItemNamed,MATCH(TRIM(AD254),ITEM,0),4))&amp;AD255,"ITEM CODE DOES NOT EXIST IN ITEM MASTER")))</f>
        <v/>
      </c>
      <c r="AE257" s="278" t="str">
        <f t="shared" si="39"/>
        <v/>
      </c>
      <c r="AF257" s="278" t="str">
        <f t="shared" si="39"/>
        <v/>
      </c>
    </row>
    <row r="258" spans="2:32" ht="12.75" customHeight="1" x14ac:dyDescent="0.2">
      <c r="B258" s="251"/>
      <c r="D258" s="254"/>
      <c r="E258" s="254"/>
      <c r="F258" s="258"/>
      <c r="G258" s="259"/>
      <c r="H258" s="259"/>
      <c r="I258" s="259"/>
      <c r="J258" s="313"/>
      <c r="K258" s="301"/>
      <c r="L258" s="305"/>
      <c r="M258" s="306"/>
      <c r="N258" s="325"/>
      <c r="O258" s="311"/>
      <c r="P258" s="290"/>
      <c r="Q258" s="290"/>
      <c r="R258" s="290"/>
      <c r="S258" s="290"/>
      <c r="T258" s="245"/>
      <c r="U258" s="278"/>
      <c r="V258" s="278"/>
      <c r="W258" s="278"/>
      <c r="X258" s="278"/>
      <c r="Y258" s="278"/>
      <c r="Z258" s="278"/>
      <c r="AA258" s="290"/>
      <c r="AB258" s="269"/>
      <c r="AC258" s="290"/>
      <c r="AD258" s="278"/>
      <c r="AE258" s="278"/>
      <c r="AF258" s="278"/>
    </row>
    <row r="259" spans="2:32" ht="12.75" customHeight="1" x14ac:dyDescent="0.2">
      <c r="B259" s="251"/>
      <c r="D259" s="254"/>
      <c r="E259" s="254"/>
      <c r="F259" s="258"/>
      <c r="G259" s="259"/>
      <c r="H259" s="259"/>
      <c r="I259" s="259"/>
      <c r="J259" s="313"/>
      <c r="K259" s="301"/>
      <c r="L259" s="305"/>
      <c r="M259" s="306"/>
      <c r="N259" s="325"/>
      <c r="O259" s="311"/>
      <c r="P259" s="290"/>
      <c r="Q259" s="290"/>
      <c r="R259" s="290"/>
      <c r="S259" s="290"/>
      <c r="T259" s="245"/>
      <c r="U259" s="278"/>
      <c r="V259" s="278"/>
      <c r="W259" s="278"/>
      <c r="X259" s="278"/>
      <c r="Y259" s="278"/>
      <c r="Z259" s="278"/>
      <c r="AA259" s="290"/>
      <c r="AB259" s="269"/>
      <c r="AC259" s="290"/>
      <c r="AD259" s="278"/>
      <c r="AE259" s="278"/>
      <c r="AF259" s="278"/>
    </row>
    <row r="260" spans="2:32" ht="12.75" customHeight="1" x14ac:dyDescent="0.2">
      <c r="B260" s="251"/>
      <c r="D260" s="254"/>
      <c r="E260" s="254"/>
      <c r="F260" s="258"/>
      <c r="G260" s="259"/>
      <c r="H260" s="259"/>
      <c r="I260" s="259"/>
      <c r="J260" s="313"/>
      <c r="K260" s="301"/>
      <c r="L260" s="305"/>
      <c r="M260" s="306"/>
      <c r="N260" s="325"/>
      <c r="O260" s="311"/>
      <c r="P260" s="290"/>
      <c r="Q260" s="290"/>
      <c r="R260" s="290"/>
      <c r="S260" s="290"/>
      <c r="T260" s="245"/>
      <c r="U260" s="278"/>
      <c r="V260" s="278"/>
      <c r="W260" s="278"/>
      <c r="X260" s="278"/>
      <c r="Y260" s="278"/>
      <c r="Z260" s="278"/>
      <c r="AA260" s="290"/>
      <c r="AB260" s="269"/>
      <c r="AC260" s="290"/>
      <c r="AD260" s="278"/>
      <c r="AE260" s="278"/>
      <c r="AF260" s="278"/>
    </row>
    <row r="261" spans="2:32" ht="12.75" customHeight="1" x14ac:dyDescent="0.2">
      <c r="B261" s="251"/>
      <c r="D261" s="254"/>
      <c r="E261" s="254"/>
      <c r="F261" s="258"/>
      <c r="G261" s="259"/>
      <c r="H261" s="259"/>
      <c r="I261" s="259"/>
      <c r="J261" s="313"/>
      <c r="K261" s="301"/>
      <c r="L261" s="305"/>
      <c r="M261" s="306"/>
      <c r="N261" s="325"/>
      <c r="O261" s="311"/>
      <c r="P261" s="290"/>
      <c r="Q261" s="290"/>
      <c r="R261" s="290"/>
      <c r="S261" s="290"/>
      <c r="T261" s="245"/>
      <c r="U261" s="278"/>
      <c r="V261" s="278"/>
      <c r="W261" s="278"/>
      <c r="X261" s="278"/>
      <c r="Y261" s="278"/>
      <c r="Z261" s="278"/>
      <c r="AA261" s="290"/>
      <c r="AB261" s="269"/>
      <c r="AC261" s="290"/>
      <c r="AD261" s="278"/>
      <c r="AE261" s="278"/>
      <c r="AF261" s="278"/>
    </row>
    <row r="262" spans="2:32" ht="12.75" customHeight="1" x14ac:dyDescent="0.2">
      <c r="B262" s="251"/>
      <c r="D262" s="254"/>
      <c r="E262" s="254"/>
      <c r="F262" s="258"/>
      <c r="G262" s="259"/>
      <c r="H262" s="259"/>
      <c r="I262" s="259"/>
      <c r="J262" s="313"/>
      <c r="K262" s="301"/>
      <c r="L262" s="305"/>
      <c r="M262" s="306"/>
      <c r="N262" s="325"/>
      <c r="O262" s="311"/>
      <c r="P262" s="290"/>
      <c r="Q262" s="290"/>
      <c r="R262" s="290"/>
      <c r="S262" s="290"/>
      <c r="T262" s="245"/>
      <c r="U262" s="278"/>
      <c r="V262" s="278"/>
      <c r="W262" s="278"/>
      <c r="X262" s="278"/>
      <c r="Y262" s="278"/>
      <c r="Z262" s="278"/>
      <c r="AA262" s="290"/>
      <c r="AB262" s="269"/>
      <c r="AC262" s="290"/>
      <c r="AD262" s="278"/>
      <c r="AE262" s="278"/>
      <c r="AF262" s="278"/>
    </row>
    <row r="263" spans="2:32" ht="12.75" customHeight="1" x14ac:dyDescent="0.2">
      <c r="B263" s="251"/>
      <c r="D263" s="254"/>
      <c r="E263" s="254"/>
      <c r="F263" s="258"/>
      <c r="G263" s="259"/>
      <c r="H263" s="259"/>
      <c r="I263" s="259"/>
      <c r="J263" s="313"/>
      <c r="K263" s="301"/>
      <c r="L263" s="305"/>
      <c r="M263" s="306"/>
      <c r="N263" s="325"/>
      <c r="O263" s="311"/>
      <c r="P263" s="290"/>
      <c r="Q263" s="290"/>
      <c r="R263" s="290"/>
      <c r="S263" s="290"/>
      <c r="T263" s="245"/>
      <c r="U263" s="278"/>
      <c r="V263" s="278"/>
      <c r="W263" s="278"/>
      <c r="X263" s="278"/>
      <c r="Y263" s="278"/>
      <c r="Z263" s="278"/>
      <c r="AA263" s="290"/>
      <c r="AB263" s="269"/>
      <c r="AC263" s="290"/>
      <c r="AD263" s="278"/>
      <c r="AE263" s="278"/>
      <c r="AF263" s="278"/>
    </row>
    <row r="264" spans="2:32" ht="12.75" customHeight="1" x14ac:dyDescent="0.2">
      <c r="B264" s="251"/>
      <c r="D264" s="254"/>
      <c r="E264" s="254"/>
      <c r="F264" s="258"/>
      <c r="G264" s="259"/>
      <c r="H264" s="259"/>
      <c r="I264" s="259"/>
      <c r="J264" s="313"/>
      <c r="K264" s="301"/>
      <c r="L264" s="305"/>
      <c r="M264" s="306"/>
      <c r="N264" s="325"/>
      <c r="O264" s="311"/>
      <c r="P264" s="290"/>
      <c r="Q264" s="290"/>
      <c r="R264" s="290"/>
      <c r="S264" s="290"/>
      <c r="T264" s="245"/>
      <c r="U264" s="278"/>
      <c r="V264" s="278"/>
      <c r="W264" s="278"/>
      <c r="X264" s="278"/>
      <c r="Y264" s="278"/>
      <c r="Z264" s="278"/>
      <c r="AA264" s="290"/>
      <c r="AB264" s="269"/>
      <c r="AC264" s="290"/>
      <c r="AD264" s="278"/>
      <c r="AE264" s="278"/>
      <c r="AF264" s="278"/>
    </row>
    <row r="265" spans="2:32" ht="12.75" customHeight="1" x14ac:dyDescent="0.2">
      <c r="B265" s="251"/>
      <c r="D265" s="254"/>
      <c r="E265" s="254"/>
      <c r="F265" s="258"/>
      <c r="G265" s="259"/>
      <c r="H265" s="259"/>
      <c r="I265" s="259"/>
      <c r="J265" s="313"/>
      <c r="K265" s="301"/>
      <c r="L265" s="305"/>
      <c r="M265" s="306"/>
      <c r="N265" s="325"/>
      <c r="O265" s="311"/>
      <c r="P265" s="290"/>
      <c r="Q265" s="290"/>
      <c r="R265" s="290"/>
      <c r="S265" s="290"/>
      <c r="T265" s="245"/>
      <c r="U265" s="278"/>
      <c r="V265" s="278"/>
      <c r="W265" s="278"/>
      <c r="X265" s="278"/>
      <c r="Y265" s="278"/>
      <c r="Z265" s="278"/>
      <c r="AA265" s="290"/>
      <c r="AB265" s="269"/>
      <c r="AC265" s="290"/>
      <c r="AD265" s="278"/>
      <c r="AE265" s="278"/>
      <c r="AF265" s="278"/>
    </row>
    <row r="266" spans="2:32" ht="12.75" customHeight="1" x14ac:dyDescent="0.2">
      <c r="B266" s="251"/>
      <c r="D266" s="254"/>
      <c r="E266" s="254"/>
      <c r="F266" s="258"/>
      <c r="G266" s="259"/>
      <c r="H266" s="259"/>
      <c r="I266" s="259"/>
      <c r="J266" s="313"/>
      <c r="K266" s="301"/>
      <c r="L266" s="305"/>
      <c r="M266" s="306"/>
      <c r="N266" s="325"/>
      <c r="O266" s="311"/>
      <c r="P266" s="290"/>
      <c r="Q266" s="290"/>
      <c r="R266" s="290"/>
      <c r="S266" s="290"/>
      <c r="T266" s="245"/>
      <c r="U266" s="278"/>
      <c r="V266" s="278"/>
      <c r="W266" s="278"/>
      <c r="X266" s="278"/>
      <c r="Y266" s="278"/>
      <c r="Z266" s="278"/>
      <c r="AA266" s="290"/>
      <c r="AB266" s="269"/>
      <c r="AC266" s="290"/>
      <c r="AD266" s="278"/>
      <c r="AE266" s="278"/>
      <c r="AF266" s="278"/>
    </row>
    <row r="267" spans="2:32" ht="12.75" customHeight="1" x14ac:dyDescent="0.2">
      <c r="B267" s="251"/>
      <c r="D267" s="254"/>
      <c r="E267" s="254"/>
      <c r="F267" s="258"/>
      <c r="G267" s="259"/>
      <c r="H267" s="259"/>
      <c r="I267" s="259"/>
      <c r="J267" s="313"/>
      <c r="K267" s="301"/>
      <c r="L267" s="305"/>
      <c r="M267" s="306"/>
      <c r="N267" s="325"/>
      <c r="O267" s="311"/>
      <c r="P267" s="290"/>
      <c r="Q267" s="290"/>
      <c r="R267" s="290"/>
      <c r="S267" s="290"/>
      <c r="T267" s="245"/>
      <c r="U267" s="278"/>
      <c r="V267" s="278"/>
      <c r="W267" s="278"/>
      <c r="X267" s="278"/>
      <c r="Y267" s="278"/>
      <c r="Z267" s="278"/>
      <c r="AA267" s="290"/>
      <c r="AB267" s="269"/>
      <c r="AC267" s="290"/>
      <c r="AD267" s="278"/>
      <c r="AE267" s="278"/>
      <c r="AF267" s="278"/>
    </row>
    <row r="268" spans="2:32" ht="12.75" customHeight="1" x14ac:dyDescent="0.2">
      <c r="B268" s="251"/>
      <c r="D268" s="254"/>
      <c r="E268" s="254"/>
      <c r="F268" s="258"/>
      <c r="G268" s="259"/>
      <c r="H268" s="259"/>
      <c r="I268" s="259"/>
      <c r="J268" s="313"/>
      <c r="K268" s="301"/>
      <c r="L268" s="305"/>
      <c r="M268" s="306"/>
      <c r="N268" s="325"/>
      <c r="O268" s="311"/>
      <c r="P268" s="290"/>
      <c r="Q268" s="290"/>
      <c r="R268" s="290"/>
      <c r="S268" s="290"/>
      <c r="T268" s="246"/>
      <c r="U268" s="278"/>
      <c r="V268" s="278"/>
      <c r="W268" s="278"/>
      <c r="X268" s="278"/>
      <c r="Y268" s="278"/>
      <c r="Z268" s="278"/>
      <c r="AA268" s="290"/>
      <c r="AB268" s="270"/>
      <c r="AC268" s="290"/>
      <c r="AD268" s="278"/>
      <c r="AE268" s="278"/>
      <c r="AF268" s="278"/>
    </row>
    <row r="269" spans="2:32" ht="12.75" customHeight="1" thickBot="1" x14ac:dyDescent="0.25">
      <c r="B269" s="252"/>
      <c r="D269" s="255"/>
      <c r="E269" s="255"/>
      <c r="F269" s="260"/>
      <c r="G269" s="261"/>
      <c r="H269" s="261"/>
      <c r="I269" s="261"/>
      <c r="J269" s="314"/>
      <c r="K269" s="302"/>
      <c r="L269" s="307"/>
      <c r="M269" s="308"/>
      <c r="N269" s="326"/>
      <c r="O269" s="138" t="str">
        <f t="shared" ref="O269:T269" si="40">IF(OR(TRIM(O254)=0,TRIM(O254)=""),"",IFERROR(TRIM(INDEX(QryItemNamed,MATCH(TRIM(O254),ITEM,0),3)),""))</f>
        <v>FT</v>
      </c>
      <c r="P269" s="102" t="str">
        <f t="shared" si="40"/>
        <v>SF</v>
      </c>
      <c r="Q269" s="102" t="str">
        <f t="shared" si="40"/>
        <v>EACH</v>
      </c>
      <c r="R269" s="102" t="str">
        <f t="shared" si="40"/>
        <v>EACH</v>
      </c>
      <c r="S269" s="102" t="str">
        <f t="shared" si="40"/>
        <v>EACH</v>
      </c>
      <c r="T269" s="102" t="str">
        <f t="shared" si="40"/>
        <v>EACH</v>
      </c>
      <c r="U269" s="102" t="s">
        <v>51</v>
      </c>
      <c r="V269" s="102" t="s">
        <v>51</v>
      </c>
      <c r="W269" s="102" t="s">
        <v>51</v>
      </c>
      <c r="X269" s="102" t="s">
        <v>51</v>
      </c>
      <c r="Y269" s="102"/>
      <c r="Z269" s="102" t="str">
        <f t="shared" ref="Z269:AB269" si="41">IF(OR(TRIM(Z254)=0,TRIM(Z254)=""),"",IFERROR(TRIM(INDEX(QryItemNamed,MATCH(TRIM(Z254),ITEM,0),3)),""))</f>
        <v/>
      </c>
      <c r="AA269" s="102" t="str">
        <f t="shared" si="41"/>
        <v/>
      </c>
      <c r="AB269" s="102" t="str">
        <f t="shared" si="41"/>
        <v/>
      </c>
      <c r="AC269" s="102" t="str">
        <f>IF(OR(TRIM(AC254)=0,TRIM(AC254)=""),"",IFERROR(TRIM(INDEX(QryItemNamed,MATCH(TRIM(AC254),ITEM,0),3)),""))</f>
        <v/>
      </c>
      <c r="AD269" s="102" t="str">
        <f>IF(OR(TRIM(AD254)=0,TRIM(AD254)=""),"",IFERROR(TRIM(INDEX(QryItemNamed,MATCH(TRIM(AD254),ITEM,0),3)),""))</f>
        <v/>
      </c>
      <c r="AE269" s="102" t="str">
        <f>IF(OR(TRIM(AE254)=0,TRIM(AE254)=""),"",IFERROR(TRIM(INDEX(QryItemNamed,MATCH(TRIM(AE254),ITEM,0),3)),""))</f>
        <v/>
      </c>
      <c r="AF269" s="102" t="str">
        <f>IF(OR(TRIM(AF254)=0,TRIM(AF254)=""),"",IFERROR(TRIM(INDEX(QryItemNamed,MATCH(TRIM(AF254),ITEM,0),3)),""))</f>
        <v/>
      </c>
    </row>
    <row r="270" spans="2:32" ht="12.75" customHeight="1" x14ac:dyDescent="0.2">
      <c r="B270" s="21">
        <v>1</v>
      </c>
      <c r="C270" s="5">
        <f>912+18</f>
        <v>930</v>
      </c>
      <c r="D270" s="114" t="s">
        <v>490</v>
      </c>
      <c r="E270" s="114" t="s">
        <v>752</v>
      </c>
      <c r="F270" s="285"/>
      <c r="G270" s="286"/>
      <c r="H270" s="139"/>
      <c r="I270" s="287"/>
      <c r="J270" s="289"/>
      <c r="K270" s="232" t="s">
        <v>24</v>
      </c>
      <c r="L270" s="287"/>
      <c r="M270" s="288"/>
      <c r="N270" s="211">
        <v>1</v>
      </c>
      <c r="O270" s="139"/>
      <c r="P270" s="114"/>
      <c r="Q270" s="114">
        <v>2</v>
      </c>
      <c r="R270" s="114">
        <v>2</v>
      </c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</row>
    <row r="271" spans="2:32" ht="12.75" customHeight="1" x14ac:dyDescent="0.2">
      <c r="B271" s="21">
        <v>1</v>
      </c>
      <c r="D271" s="114" t="s">
        <v>491</v>
      </c>
      <c r="E271" s="114" t="s">
        <v>752</v>
      </c>
      <c r="F271" s="285"/>
      <c r="G271" s="286"/>
      <c r="H271" s="139"/>
      <c r="I271" s="287"/>
      <c r="J271" s="289"/>
      <c r="K271" s="232" t="s">
        <v>24</v>
      </c>
      <c r="L271" s="287"/>
      <c r="M271" s="288"/>
      <c r="N271" s="212">
        <v>1</v>
      </c>
      <c r="O271" s="139"/>
      <c r="P271" s="114"/>
      <c r="Q271" s="114">
        <v>2</v>
      </c>
      <c r="R271" s="114">
        <v>2</v>
      </c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</row>
    <row r="272" spans="2:32" ht="12.75" customHeight="1" x14ac:dyDescent="0.2">
      <c r="B272" s="21">
        <v>1</v>
      </c>
      <c r="D272" s="114" t="s">
        <v>492</v>
      </c>
      <c r="E272" s="114" t="s">
        <v>752</v>
      </c>
      <c r="F272" s="285"/>
      <c r="G272" s="286"/>
      <c r="H272" s="139"/>
      <c r="I272" s="287"/>
      <c r="J272" s="289"/>
      <c r="K272" s="232" t="s">
        <v>24</v>
      </c>
      <c r="L272" s="287"/>
      <c r="M272" s="288"/>
      <c r="N272" s="212">
        <v>1</v>
      </c>
      <c r="O272" s="149"/>
      <c r="P272" s="114"/>
      <c r="Q272" s="114">
        <v>1</v>
      </c>
      <c r="R272" s="114">
        <v>2</v>
      </c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</row>
    <row r="273" spans="2:32" ht="12.75" customHeight="1" x14ac:dyDescent="0.2">
      <c r="B273" s="21">
        <v>1</v>
      </c>
      <c r="D273" s="114" t="s">
        <v>493</v>
      </c>
      <c r="E273" s="114" t="s">
        <v>752</v>
      </c>
      <c r="F273" s="285"/>
      <c r="G273" s="286"/>
      <c r="H273" s="114"/>
      <c r="I273" s="287"/>
      <c r="J273" s="289"/>
      <c r="K273" s="232" t="s">
        <v>24</v>
      </c>
      <c r="L273" s="287"/>
      <c r="M273" s="288"/>
      <c r="N273" s="212">
        <v>1</v>
      </c>
      <c r="O273" s="149"/>
      <c r="P273" s="114"/>
      <c r="Q273" s="114">
        <v>1</v>
      </c>
      <c r="R273" s="114">
        <v>2</v>
      </c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</row>
    <row r="274" spans="2:32" ht="12.75" customHeight="1" x14ac:dyDescent="0.2">
      <c r="B274" s="21">
        <v>1</v>
      </c>
      <c r="D274" s="114" t="s">
        <v>494</v>
      </c>
      <c r="E274" s="114" t="s">
        <v>752</v>
      </c>
      <c r="F274" s="285"/>
      <c r="G274" s="286"/>
      <c r="H274" s="114"/>
      <c r="I274" s="287"/>
      <c r="J274" s="289"/>
      <c r="K274" s="232" t="s">
        <v>24</v>
      </c>
      <c r="L274" s="287"/>
      <c r="M274" s="288"/>
      <c r="N274" s="212">
        <v>1</v>
      </c>
      <c r="O274" s="149"/>
      <c r="P274" s="114"/>
      <c r="Q274" s="114">
        <v>2</v>
      </c>
      <c r="R274" s="114">
        <v>1</v>
      </c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</row>
    <row r="275" spans="2:32" ht="12.75" customHeight="1" x14ac:dyDescent="0.2">
      <c r="B275" s="21">
        <v>1</v>
      </c>
      <c r="D275" s="114" t="s">
        <v>495</v>
      </c>
      <c r="E275" s="114" t="s">
        <v>752</v>
      </c>
      <c r="F275" s="285"/>
      <c r="G275" s="286"/>
      <c r="H275" s="114"/>
      <c r="I275" s="287"/>
      <c r="J275" s="289"/>
      <c r="K275" s="232" t="s">
        <v>24</v>
      </c>
      <c r="L275" s="287"/>
      <c r="M275" s="288"/>
      <c r="N275" s="212">
        <v>1</v>
      </c>
      <c r="O275" s="149"/>
      <c r="P275" s="114"/>
      <c r="Q275" s="114">
        <v>2</v>
      </c>
      <c r="R275" s="114">
        <v>1</v>
      </c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</row>
    <row r="276" spans="2:32" ht="12.75" customHeight="1" x14ac:dyDescent="0.2">
      <c r="B276" s="21">
        <v>1</v>
      </c>
      <c r="D276" s="114" t="s">
        <v>496</v>
      </c>
      <c r="E276" s="114" t="s">
        <v>752</v>
      </c>
      <c r="F276" s="285"/>
      <c r="G276" s="286"/>
      <c r="H276" s="114"/>
      <c r="I276" s="287"/>
      <c r="J276" s="289"/>
      <c r="K276" s="232" t="s">
        <v>24</v>
      </c>
      <c r="L276" s="287"/>
      <c r="M276" s="288"/>
      <c r="N276" s="212">
        <v>1</v>
      </c>
      <c r="O276" s="149"/>
      <c r="P276" s="114"/>
      <c r="Q276" s="114">
        <v>1</v>
      </c>
      <c r="R276" s="114">
        <v>1</v>
      </c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</row>
    <row r="277" spans="2:32" ht="12.75" customHeight="1" x14ac:dyDescent="0.2">
      <c r="B277" s="21">
        <v>1</v>
      </c>
      <c r="D277" s="114" t="s">
        <v>497</v>
      </c>
      <c r="E277" s="114" t="s">
        <v>752</v>
      </c>
      <c r="F277" s="285"/>
      <c r="G277" s="286"/>
      <c r="H277" s="114"/>
      <c r="I277" s="287"/>
      <c r="J277" s="289"/>
      <c r="K277" s="232" t="s">
        <v>25</v>
      </c>
      <c r="L277" s="287"/>
      <c r="M277" s="288"/>
      <c r="N277" s="212">
        <v>1</v>
      </c>
      <c r="O277" s="149"/>
      <c r="P277" s="114"/>
      <c r="Q277" s="114">
        <v>1</v>
      </c>
      <c r="R277" s="114">
        <v>1</v>
      </c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</row>
    <row r="278" spans="2:32" ht="12.75" customHeight="1" x14ac:dyDescent="0.2">
      <c r="B278" s="21">
        <v>1</v>
      </c>
      <c r="D278" s="114" t="s">
        <v>498</v>
      </c>
      <c r="E278" s="114" t="s">
        <v>752</v>
      </c>
      <c r="F278" s="285"/>
      <c r="G278" s="286"/>
      <c r="H278" s="114"/>
      <c r="I278" s="287"/>
      <c r="J278" s="289"/>
      <c r="K278" s="232" t="s">
        <v>24</v>
      </c>
      <c r="L278" s="287"/>
      <c r="M278" s="288"/>
      <c r="N278" s="212">
        <v>1</v>
      </c>
      <c r="O278" s="149"/>
      <c r="P278" s="114"/>
      <c r="Q278" s="114">
        <v>2</v>
      </c>
      <c r="R278" s="114">
        <v>1</v>
      </c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</row>
    <row r="279" spans="2:32" ht="12.75" customHeight="1" x14ac:dyDescent="0.2">
      <c r="B279" s="21">
        <v>1</v>
      </c>
      <c r="D279" s="114" t="s">
        <v>499</v>
      </c>
      <c r="E279" s="114" t="s">
        <v>752</v>
      </c>
      <c r="F279" s="285">
        <v>172942</v>
      </c>
      <c r="G279" s="286"/>
      <c r="H279" s="114"/>
      <c r="I279" s="287"/>
      <c r="J279" s="289"/>
      <c r="K279" s="232" t="s">
        <v>24</v>
      </c>
      <c r="L279" s="287" t="s">
        <v>108</v>
      </c>
      <c r="M279" s="288"/>
      <c r="N279" s="212">
        <v>1</v>
      </c>
      <c r="O279" s="149">
        <f>3.5+7+2</f>
        <v>12.5</v>
      </c>
      <c r="P279" s="114">
        <f>1.5*2</f>
        <v>3</v>
      </c>
      <c r="Q279" s="114"/>
      <c r="R279" s="114"/>
      <c r="S279" s="114"/>
      <c r="T279" s="114"/>
      <c r="U279" s="114"/>
      <c r="V279" s="114"/>
      <c r="W279" s="114"/>
      <c r="X279" s="114">
        <v>1</v>
      </c>
      <c r="Y279" s="114"/>
      <c r="Z279" s="114"/>
      <c r="AA279" s="114"/>
      <c r="AB279" s="114"/>
      <c r="AC279" s="114"/>
      <c r="AD279" s="114"/>
      <c r="AE279" s="114"/>
      <c r="AF279" s="114"/>
    </row>
    <row r="280" spans="2:32" ht="12.75" customHeight="1" x14ac:dyDescent="0.2">
      <c r="B280" s="21">
        <v>1</v>
      </c>
      <c r="D280" s="114"/>
      <c r="E280" s="114" t="s">
        <v>752</v>
      </c>
      <c r="F280" s="285">
        <v>172942</v>
      </c>
      <c r="G280" s="286"/>
      <c r="H280" s="114"/>
      <c r="I280" s="287"/>
      <c r="J280" s="289"/>
      <c r="K280" s="232" t="s">
        <v>24</v>
      </c>
      <c r="L280" s="287" t="s">
        <v>107</v>
      </c>
      <c r="M280" s="288"/>
      <c r="N280" s="212">
        <v>1</v>
      </c>
      <c r="O280" s="149"/>
      <c r="P280" s="114">
        <f>1.5*2</f>
        <v>3</v>
      </c>
      <c r="Q280" s="114"/>
      <c r="R280" s="114"/>
      <c r="S280" s="114"/>
      <c r="T280" s="114"/>
      <c r="U280" s="114"/>
      <c r="V280" s="114"/>
      <c r="W280" s="114"/>
      <c r="X280" s="114">
        <v>1</v>
      </c>
      <c r="Y280" s="114"/>
      <c r="Z280" s="114"/>
      <c r="AA280" s="114"/>
      <c r="AB280" s="114"/>
      <c r="AC280" s="114"/>
      <c r="AD280" s="114"/>
      <c r="AE280" s="114"/>
      <c r="AF280" s="114"/>
    </row>
    <row r="281" spans="2:32" ht="12.75" customHeight="1" x14ac:dyDescent="0.2">
      <c r="B281" s="21">
        <v>1</v>
      </c>
      <c r="D281" s="114" t="s">
        <v>500</v>
      </c>
      <c r="E281" s="114" t="s">
        <v>752</v>
      </c>
      <c r="F281" s="285">
        <v>172989</v>
      </c>
      <c r="G281" s="286"/>
      <c r="H281" s="114"/>
      <c r="I281" s="287"/>
      <c r="J281" s="289"/>
      <c r="K281" s="232" t="s">
        <v>24</v>
      </c>
      <c r="L281" s="287" t="s">
        <v>114</v>
      </c>
      <c r="M281" s="288"/>
      <c r="N281" s="212">
        <v>1</v>
      </c>
      <c r="O281" s="149">
        <f>3.5+7+1+1.5+4.5</f>
        <v>17.5</v>
      </c>
      <c r="P281" s="114">
        <f>3*3</f>
        <v>9</v>
      </c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</row>
    <row r="282" spans="2:32" ht="12.75" customHeight="1" x14ac:dyDescent="0.2">
      <c r="B282" s="21">
        <v>1</v>
      </c>
      <c r="D282" s="114"/>
      <c r="E282" s="114" t="s">
        <v>752</v>
      </c>
      <c r="F282" s="285">
        <v>172989</v>
      </c>
      <c r="G282" s="286"/>
      <c r="H282" s="114"/>
      <c r="I282" s="287"/>
      <c r="J282" s="289"/>
      <c r="K282" s="232" t="s">
        <v>24</v>
      </c>
      <c r="L282" s="287" t="s">
        <v>131</v>
      </c>
      <c r="M282" s="288"/>
      <c r="N282" s="212">
        <v>1</v>
      </c>
      <c r="O282" s="149"/>
      <c r="P282" s="114">
        <f>3*1</f>
        <v>3</v>
      </c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</row>
    <row r="283" spans="2:32" ht="12.75" customHeight="1" x14ac:dyDescent="0.2">
      <c r="B283" s="21">
        <v>1</v>
      </c>
      <c r="D283" s="114"/>
      <c r="E283" s="114" t="s">
        <v>752</v>
      </c>
      <c r="F283" s="285">
        <v>172989</v>
      </c>
      <c r="G283" s="286"/>
      <c r="H283" s="114"/>
      <c r="I283" s="287"/>
      <c r="J283" s="289"/>
      <c r="K283" s="232" t="s">
        <v>24</v>
      </c>
      <c r="L283" s="287" t="s">
        <v>116</v>
      </c>
      <c r="M283" s="288"/>
      <c r="N283" s="212">
        <v>1</v>
      </c>
      <c r="O283" s="149"/>
      <c r="P283" s="114">
        <f>1.5*1.5</f>
        <v>2.25</v>
      </c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</row>
    <row r="284" spans="2:32" ht="12.75" customHeight="1" x14ac:dyDescent="0.2">
      <c r="B284" s="21">
        <v>1</v>
      </c>
      <c r="D284" s="114" t="s">
        <v>501</v>
      </c>
      <c r="E284" s="114" t="s">
        <v>752</v>
      </c>
      <c r="F284" s="285">
        <v>173062</v>
      </c>
      <c r="G284" s="286"/>
      <c r="H284" s="114"/>
      <c r="I284" s="287"/>
      <c r="J284" s="289"/>
      <c r="K284" s="232" t="s">
        <v>24</v>
      </c>
      <c r="L284" s="287" t="s">
        <v>108</v>
      </c>
      <c r="M284" s="288"/>
      <c r="N284" s="212">
        <v>1</v>
      </c>
      <c r="O284" s="149">
        <f>3.5+7+2</f>
        <v>12.5</v>
      </c>
      <c r="P284" s="114">
        <f>1.5*2</f>
        <v>3</v>
      </c>
      <c r="Q284" s="114"/>
      <c r="R284" s="114"/>
      <c r="S284" s="114"/>
      <c r="T284" s="114"/>
      <c r="U284" s="114"/>
      <c r="V284" s="114"/>
      <c r="W284" s="114"/>
      <c r="X284" s="114">
        <v>1</v>
      </c>
      <c r="Y284" s="114"/>
      <c r="Z284" s="114"/>
      <c r="AA284" s="114"/>
      <c r="AB284" s="114"/>
      <c r="AC284" s="114"/>
      <c r="AD284" s="114"/>
      <c r="AE284" s="114"/>
      <c r="AF284" s="114"/>
    </row>
    <row r="285" spans="2:32" ht="12.75" customHeight="1" x14ac:dyDescent="0.2">
      <c r="B285" s="21">
        <v>1</v>
      </c>
      <c r="D285" s="155"/>
      <c r="E285" s="114" t="s">
        <v>752</v>
      </c>
      <c r="F285" s="285">
        <v>173062</v>
      </c>
      <c r="G285" s="286"/>
      <c r="H285" s="155"/>
      <c r="I285" s="287"/>
      <c r="J285" s="289"/>
      <c r="K285" s="233" t="s">
        <v>24</v>
      </c>
      <c r="L285" s="287" t="s">
        <v>107</v>
      </c>
      <c r="M285" s="288"/>
      <c r="N285" s="212">
        <v>1</v>
      </c>
      <c r="O285" s="154"/>
      <c r="P285" s="155">
        <f>2*1.5</f>
        <v>3</v>
      </c>
      <c r="Q285" s="155"/>
      <c r="R285" s="155"/>
      <c r="S285" s="114"/>
      <c r="T285" s="114"/>
      <c r="U285" s="114"/>
      <c r="V285" s="114"/>
      <c r="W285" s="114"/>
      <c r="X285" s="114">
        <v>1</v>
      </c>
      <c r="Y285" s="114"/>
      <c r="Z285" s="114"/>
      <c r="AA285" s="114"/>
      <c r="AB285" s="114"/>
      <c r="AC285" s="114"/>
      <c r="AD285" s="114"/>
      <c r="AE285" s="114"/>
      <c r="AF285" s="114"/>
    </row>
    <row r="286" spans="2:32" ht="12.75" customHeight="1" x14ac:dyDescent="0.2">
      <c r="B286" s="21">
        <v>1</v>
      </c>
      <c r="D286" s="114" t="s">
        <v>502</v>
      </c>
      <c r="E286" s="114" t="s">
        <v>752</v>
      </c>
      <c r="F286" s="285">
        <v>173182</v>
      </c>
      <c r="G286" s="286"/>
      <c r="H286" s="114"/>
      <c r="I286" s="287"/>
      <c r="J286" s="289"/>
      <c r="K286" s="232" t="s">
        <v>24</v>
      </c>
      <c r="L286" s="287" t="s">
        <v>108</v>
      </c>
      <c r="M286" s="288"/>
      <c r="N286" s="212">
        <v>1</v>
      </c>
      <c r="O286" s="149">
        <f>3.5+7+2</f>
        <v>12.5</v>
      </c>
      <c r="P286" s="114">
        <f>1.5*2</f>
        <v>3</v>
      </c>
      <c r="Q286" s="114"/>
      <c r="R286" s="114"/>
      <c r="S286" s="114"/>
      <c r="T286" s="114"/>
      <c r="U286" s="114"/>
      <c r="V286" s="114"/>
      <c r="W286" s="114"/>
      <c r="X286" s="114">
        <v>1</v>
      </c>
      <c r="Y286" s="114"/>
      <c r="Z286" s="114"/>
      <c r="AA286" s="114"/>
      <c r="AB286" s="114"/>
      <c r="AC286" s="114"/>
      <c r="AD286" s="114"/>
      <c r="AE286" s="114"/>
      <c r="AF286" s="114"/>
    </row>
    <row r="287" spans="2:32" ht="12.75" customHeight="1" x14ac:dyDescent="0.2">
      <c r="B287" s="21">
        <v>1</v>
      </c>
      <c r="D287" s="114"/>
      <c r="E287" s="114" t="s">
        <v>752</v>
      </c>
      <c r="F287" s="285">
        <v>173182</v>
      </c>
      <c r="G287" s="286"/>
      <c r="H287" s="114"/>
      <c r="I287" s="287"/>
      <c r="J287" s="289"/>
      <c r="K287" s="232" t="s">
        <v>24</v>
      </c>
      <c r="L287" s="287" t="s">
        <v>107</v>
      </c>
      <c r="M287" s="288"/>
      <c r="N287" s="212">
        <v>1</v>
      </c>
      <c r="O287" s="149"/>
      <c r="P287" s="114">
        <f>1.5*2</f>
        <v>3</v>
      </c>
      <c r="Q287" s="114"/>
      <c r="R287" s="114"/>
      <c r="S287" s="114"/>
      <c r="T287" s="114"/>
      <c r="U287" s="114"/>
      <c r="V287" s="114"/>
      <c r="W287" s="114"/>
      <c r="X287" s="114">
        <v>1</v>
      </c>
      <c r="Y287" s="114"/>
      <c r="Z287" s="114"/>
      <c r="AA287" s="114"/>
      <c r="AB287" s="114"/>
      <c r="AC287" s="114"/>
      <c r="AD287" s="114"/>
      <c r="AE287" s="114"/>
      <c r="AF287" s="114"/>
    </row>
    <row r="288" spans="2:32" ht="12.75" customHeight="1" x14ac:dyDescent="0.2">
      <c r="B288" s="21">
        <v>1</v>
      </c>
      <c r="D288" s="114" t="s">
        <v>503</v>
      </c>
      <c r="E288" s="114" t="s">
        <v>752</v>
      </c>
      <c r="F288" s="285">
        <v>173240</v>
      </c>
      <c r="G288" s="286"/>
      <c r="H288" s="155"/>
      <c r="I288" s="287"/>
      <c r="J288" s="289"/>
      <c r="K288" s="233" t="s">
        <v>24</v>
      </c>
      <c r="L288" s="287" t="s">
        <v>117</v>
      </c>
      <c r="M288" s="288"/>
      <c r="N288" s="212">
        <v>1</v>
      </c>
      <c r="O288" s="149">
        <f>3.5+7+4.5</f>
        <v>15</v>
      </c>
      <c r="P288" s="114">
        <f>3*3</f>
        <v>9</v>
      </c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</row>
    <row r="289" spans="2:32" ht="12.75" customHeight="1" x14ac:dyDescent="0.2">
      <c r="B289" s="21">
        <v>1</v>
      </c>
      <c r="D289" s="114" t="s">
        <v>504</v>
      </c>
      <c r="E289" s="114" t="s">
        <v>752</v>
      </c>
      <c r="F289" s="285">
        <v>173300</v>
      </c>
      <c r="G289" s="286"/>
      <c r="H289" s="114"/>
      <c r="I289" s="287"/>
      <c r="J289" s="289"/>
      <c r="K289" s="232" t="s">
        <v>25</v>
      </c>
      <c r="L289" s="287" t="s">
        <v>136</v>
      </c>
      <c r="M289" s="288"/>
      <c r="N289" s="212">
        <v>1</v>
      </c>
      <c r="O289" s="149">
        <f>3.5+7+1.5+4.5</f>
        <v>16.5</v>
      </c>
      <c r="P289" s="114">
        <f>3*3</f>
        <v>9</v>
      </c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</row>
    <row r="290" spans="2:32" ht="12.75" customHeight="1" x14ac:dyDescent="0.2">
      <c r="B290" s="21">
        <v>1</v>
      </c>
      <c r="D290" s="114"/>
      <c r="E290" s="114" t="s">
        <v>752</v>
      </c>
      <c r="F290" s="285">
        <v>173300</v>
      </c>
      <c r="G290" s="286"/>
      <c r="H290" s="114"/>
      <c r="I290" s="287"/>
      <c r="J290" s="289"/>
      <c r="K290" s="232" t="s">
        <v>25</v>
      </c>
      <c r="L290" s="287" t="s">
        <v>116</v>
      </c>
      <c r="M290" s="288"/>
      <c r="N290" s="212">
        <v>1</v>
      </c>
      <c r="O290" s="149"/>
      <c r="P290" s="114">
        <f>1.5*1.5</f>
        <v>2.25</v>
      </c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</row>
    <row r="291" spans="2:32" ht="12.75" customHeight="1" x14ac:dyDescent="0.2">
      <c r="B291" s="21"/>
      <c r="D291" s="114"/>
      <c r="E291" s="114"/>
      <c r="F291" s="285"/>
      <c r="G291" s="286"/>
      <c r="H291" s="114"/>
      <c r="I291" s="287"/>
      <c r="J291" s="289"/>
      <c r="K291" s="232"/>
      <c r="L291" s="287"/>
      <c r="M291" s="288"/>
      <c r="N291" s="212"/>
      <c r="O291" s="149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</row>
    <row r="292" spans="2:32" ht="12.75" customHeight="1" x14ac:dyDescent="0.2">
      <c r="B292" s="21">
        <v>1</v>
      </c>
      <c r="C292" s="5">
        <f>913+18</f>
        <v>931</v>
      </c>
      <c r="D292" s="114" t="s">
        <v>525</v>
      </c>
      <c r="E292" s="114" t="s">
        <v>753</v>
      </c>
      <c r="F292" s="285">
        <v>173569</v>
      </c>
      <c r="G292" s="286"/>
      <c r="H292" s="114"/>
      <c r="I292" s="287"/>
      <c r="J292" s="289"/>
      <c r="K292" s="232" t="s">
        <v>25</v>
      </c>
      <c r="L292" s="287"/>
      <c r="M292" s="288"/>
      <c r="N292" s="212">
        <v>1</v>
      </c>
      <c r="O292" s="149"/>
      <c r="P292" s="114"/>
      <c r="Q292" s="114">
        <v>1</v>
      </c>
      <c r="R292" s="114">
        <v>1</v>
      </c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</row>
    <row r="293" spans="2:32" ht="12.75" customHeight="1" x14ac:dyDescent="0.2">
      <c r="B293" s="21">
        <v>1</v>
      </c>
      <c r="D293" s="114" t="s">
        <v>526</v>
      </c>
      <c r="E293" s="114" t="s">
        <v>753</v>
      </c>
      <c r="F293" s="285"/>
      <c r="G293" s="286"/>
      <c r="H293" s="114"/>
      <c r="I293" s="287"/>
      <c r="J293" s="289"/>
      <c r="K293" s="232" t="s">
        <v>24</v>
      </c>
      <c r="L293" s="287"/>
      <c r="M293" s="288"/>
      <c r="N293" s="212">
        <v>1</v>
      </c>
      <c r="O293" s="149"/>
      <c r="P293" s="114"/>
      <c r="Q293" s="114">
        <v>2</v>
      </c>
      <c r="R293" s="114">
        <v>1</v>
      </c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</row>
    <row r="294" spans="2:32" ht="12.75" customHeight="1" x14ac:dyDescent="0.2">
      <c r="B294" s="21">
        <v>1</v>
      </c>
      <c r="D294" s="114" t="s">
        <v>527</v>
      </c>
      <c r="E294" s="114" t="s">
        <v>753</v>
      </c>
      <c r="F294" s="285"/>
      <c r="G294" s="286"/>
      <c r="H294" s="114"/>
      <c r="I294" s="287"/>
      <c r="J294" s="289"/>
      <c r="K294" s="232" t="s">
        <v>25</v>
      </c>
      <c r="L294" s="287"/>
      <c r="M294" s="288"/>
      <c r="N294" s="212">
        <v>1</v>
      </c>
      <c r="O294" s="149"/>
      <c r="P294" s="114"/>
      <c r="Q294" s="114">
        <v>4</v>
      </c>
      <c r="R294" s="114">
        <v>1</v>
      </c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</row>
    <row r="295" spans="2:32" ht="12.75" customHeight="1" x14ac:dyDescent="0.2">
      <c r="B295" s="21">
        <v>1</v>
      </c>
      <c r="D295" s="114" t="s">
        <v>528</v>
      </c>
      <c r="E295" s="114" t="s">
        <v>753</v>
      </c>
      <c r="F295" s="285"/>
      <c r="G295" s="286"/>
      <c r="H295" s="114"/>
      <c r="I295" s="287"/>
      <c r="J295" s="289"/>
      <c r="K295" s="232" t="s">
        <v>25</v>
      </c>
      <c r="L295" s="287"/>
      <c r="M295" s="288"/>
      <c r="N295" s="212">
        <v>1</v>
      </c>
      <c r="O295" s="149"/>
      <c r="P295" s="114"/>
      <c r="Q295" s="114">
        <v>1</v>
      </c>
      <c r="R295" s="114">
        <v>1</v>
      </c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</row>
    <row r="296" spans="2:32" ht="12.75" customHeight="1" x14ac:dyDescent="0.2">
      <c r="B296" s="21">
        <v>1</v>
      </c>
      <c r="D296" s="114" t="s">
        <v>529</v>
      </c>
      <c r="E296" s="114" t="s">
        <v>753</v>
      </c>
      <c r="F296" s="285"/>
      <c r="G296" s="286"/>
      <c r="H296" s="114"/>
      <c r="I296" s="287"/>
      <c r="J296" s="289"/>
      <c r="K296" s="232" t="s">
        <v>25</v>
      </c>
      <c r="L296" s="287"/>
      <c r="M296" s="288"/>
      <c r="N296" s="212">
        <v>1</v>
      </c>
      <c r="O296" s="149"/>
      <c r="P296" s="114"/>
      <c r="Q296" s="114">
        <v>1</v>
      </c>
      <c r="R296" s="114">
        <v>1</v>
      </c>
      <c r="S296" s="110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</row>
    <row r="297" spans="2:32" ht="12.75" customHeight="1" x14ac:dyDescent="0.2">
      <c r="B297" s="21">
        <v>1</v>
      </c>
      <c r="D297" s="114" t="s">
        <v>530</v>
      </c>
      <c r="E297" s="114" t="s">
        <v>753</v>
      </c>
      <c r="F297" s="285"/>
      <c r="G297" s="286"/>
      <c r="H297" s="114"/>
      <c r="I297" s="287"/>
      <c r="J297" s="289"/>
      <c r="K297" s="232" t="s">
        <v>24</v>
      </c>
      <c r="L297" s="287"/>
      <c r="M297" s="288"/>
      <c r="N297" s="212">
        <v>1</v>
      </c>
      <c r="O297" s="149"/>
      <c r="P297" s="114"/>
      <c r="Q297" s="114">
        <v>1</v>
      </c>
      <c r="R297" s="114">
        <v>1</v>
      </c>
      <c r="S297" s="110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</row>
    <row r="298" spans="2:32" ht="12.75" customHeight="1" x14ac:dyDescent="0.2">
      <c r="B298" s="21">
        <v>1</v>
      </c>
      <c r="D298" s="114" t="s">
        <v>505</v>
      </c>
      <c r="E298" s="114" t="s">
        <v>753</v>
      </c>
      <c r="F298" s="285">
        <v>173354</v>
      </c>
      <c r="G298" s="286"/>
      <c r="H298" s="114"/>
      <c r="I298" s="287"/>
      <c r="J298" s="289"/>
      <c r="K298" s="232" t="s">
        <v>24</v>
      </c>
      <c r="L298" s="287" t="s">
        <v>137</v>
      </c>
      <c r="M298" s="288"/>
      <c r="N298" s="230">
        <v>1</v>
      </c>
      <c r="O298" s="149">
        <f>3.5+7+2.5</f>
        <v>13</v>
      </c>
      <c r="P298" s="114">
        <f>3*2.5</f>
        <v>7.5</v>
      </c>
      <c r="Q298" s="114"/>
      <c r="R298" s="114"/>
      <c r="S298" s="110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</row>
    <row r="299" spans="2:32" ht="12.75" customHeight="1" x14ac:dyDescent="0.2">
      <c r="B299" s="21">
        <v>1</v>
      </c>
      <c r="D299" s="114" t="s">
        <v>506</v>
      </c>
      <c r="E299" s="114" t="s">
        <v>753</v>
      </c>
      <c r="F299" s="285">
        <v>173366</v>
      </c>
      <c r="G299" s="286"/>
      <c r="H299" s="114"/>
      <c r="I299" s="287"/>
      <c r="J299" s="289"/>
      <c r="K299" s="232" t="s">
        <v>35</v>
      </c>
      <c r="L299" s="287"/>
      <c r="M299" s="288"/>
      <c r="N299" s="212">
        <v>1</v>
      </c>
      <c r="O299" s="149"/>
      <c r="P299" s="114"/>
      <c r="Q299" s="114"/>
      <c r="R299" s="114"/>
      <c r="S299" s="114"/>
      <c r="T299" s="155">
        <v>1</v>
      </c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</row>
    <row r="300" spans="2:32" ht="12.75" customHeight="1" x14ac:dyDescent="0.2">
      <c r="B300" s="21">
        <v>1</v>
      </c>
      <c r="C300" s="66"/>
      <c r="D300" s="114" t="s">
        <v>507</v>
      </c>
      <c r="E300" s="114" t="s">
        <v>753</v>
      </c>
      <c r="F300" s="285">
        <v>173608</v>
      </c>
      <c r="G300" s="286"/>
      <c r="H300" s="114"/>
      <c r="I300" s="156"/>
      <c r="J300" s="164"/>
      <c r="K300" s="232" t="s">
        <v>24</v>
      </c>
      <c r="L300" s="287" t="s">
        <v>698</v>
      </c>
      <c r="M300" s="288"/>
      <c r="N300" s="212">
        <v>1</v>
      </c>
      <c r="O300" s="149">
        <f>(3.5+7+1)</f>
        <v>11.5</v>
      </c>
      <c r="P300" s="114">
        <f>3*1</f>
        <v>3</v>
      </c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</row>
    <row r="301" spans="2:32" ht="12.75" customHeight="1" x14ac:dyDescent="0.2">
      <c r="B301" s="21">
        <v>1</v>
      </c>
      <c r="D301" s="114" t="s">
        <v>508</v>
      </c>
      <c r="E301" s="114" t="s">
        <v>753</v>
      </c>
      <c r="F301" s="285">
        <v>173616</v>
      </c>
      <c r="G301" s="286"/>
      <c r="H301" s="114"/>
      <c r="I301" s="156"/>
      <c r="J301" s="164"/>
      <c r="K301" s="232" t="s">
        <v>24</v>
      </c>
      <c r="L301" s="287" t="s">
        <v>698</v>
      </c>
      <c r="M301" s="288"/>
      <c r="N301" s="212">
        <v>1</v>
      </c>
      <c r="O301" s="149">
        <f>(3.5+7+1)</f>
        <v>11.5</v>
      </c>
      <c r="P301" s="114">
        <f>3*1</f>
        <v>3</v>
      </c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</row>
    <row r="302" spans="2:32" ht="12.75" customHeight="1" x14ac:dyDescent="0.2">
      <c r="B302" s="21">
        <v>1</v>
      </c>
      <c r="D302" s="114" t="s">
        <v>509</v>
      </c>
      <c r="E302" s="114" t="s">
        <v>753</v>
      </c>
      <c r="F302" s="285">
        <v>173645</v>
      </c>
      <c r="G302" s="286"/>
      <c r="H302" s="114"/>
      <c r="I302" s="156"/>
      <c r="J302" s="164"/>
      <c r="K302" s="232" t="s">
        <v>24</v>
      </c>
      <c r="L302" s="287" t="s">
        <v>698</v>
      </c>
      <c r="M302" s="288"/>
      <c r="N302" s="212">
        <v>1</v>
      </c>
      <c r="O302" s="149">
        <f>(3.5+7+1)</f>
        <v>11.5</v>
      </c>
      <c r="P302" s="114">
        <f>3*1</f>
        <v>3</v>
      </c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</row>
    <row r="303" spans="2:32" ht="12.75" customHeight="1" x14ac:dyDescent="0.2">
      <c r="B303" s="21">
        <v>1</v>
      </c>
      <c r="D303" s="114" t="s">
        <v>510</v>
      </c>
      <c r="E303" s="114" t="s">
        <v>753</v>
      </c>
      <c r="F303" s="285">
        <v>173656</v>
      </c>
      <c r="G303" s="286"/>
      <c r="H303" s="114"/>
      <c r="I303" s="156"/>
      <c r="J303" s="164"/>
      <c r="K303" s="232" t="s">
        <v>24</v>
      </c>
      <c r="L303" s="287" t="s">
        <v>698</v>
      </c>
      <c r="M303" s="288"/>
      <c r="N303" s="216">
        <v>1</v>
      </c>
      <c r="O303" s="149">
        <f>(3.5+7+1)</f>
        <v>11.5</v>
      </c>
      <c r="P303" s="114">
        <f>3*1</f>
        <v>3</v>
      </c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</row>
    <row r="304" spans="2:32" ht="12.75" customHeight="1" x14ac:dyDescent="0.2">
      <c r="B304" s="21">
        <v>1</v>
      </c>
      <c r="D304" s="114" t="s">
        <v>511</v>
      </c>
      <c r="E304" s="114" t="s">
        <v>753</v>
      </c>
      <c r="F304" s="285">
        <v>173565</v>
      </c>
      <c r="G304" s="286"/>
      <c r="H304" s="114"/>
      <c r="I304" s="156"/>
      <c r="J304" s="164"/>
      <c r="K304" s="232" t="s">
        <v>24</v>
      </c>
      <c r="L304" s="287" t="s">
        <v>127</v>
      </c>
      <c r="M304" s="288"/>
      <c r="N304" s="212">
        <v>1</v>
      </c>
      <c r="O304" s="149">
        <f>3.5+7+2.75</f>
        <v>13.25</v>
      </c>
      <c r="P304" s="114">
        <f>4</f>
        <v>4</v>
      </c>
      <c r="Q304" s="114"/>
      <c r="R304" s="114"/>
      <c r="S304" s="114"/>
      <c r="T304" s="114"/>
      <c r="U304" s="114"/>
      <c r="V304" s="114"/>
      <c r="W304" s="114">
        <v>1</v>
      </c>
      <c r="X304" s="114">
        <v>1</v>
      </c>
      <c r="Y304" s="114"/>
      <c r="Z304" s="114"/>
      <c r="AA304" s="114"/>
      <c r="AB304" s="114"/>
      <c r="AC304" s="114"/>
      <c r="AD304" s="114"/>
      <c r="AE304" s="114"/>
      <c r="AF304" s="114"/>
    </row>
    <row r="305" spans="2:32" ht="12.75" customHeight="1" x14ac:dyDescent="0.2">
      <c r="B305" s="21">
        <v>1</v>
      </c>
      <c r="D305" s="114" t="s">
        <v>512</v>
      </c>
      <c r="E305" s="114" t="s">
        <v>753</v>
      </c>
      <c r="F305" s="285">
        <v>173578</v>
      </c>
      <c r="G305" s="286"/>
      <c r="H305" s="114"/>
      <c r="I305" s="156"/>
      <c r="J305" s="164"/>
      <c r="K305" s="232" t="s">
        <v>24</v>
      </c>
      <c r="L305" s="287" t="s">
        <v>127</v>
      </c>
      <c r="M305" s="288"/>
      <c r="N305" s="212">
        <v>1</v>
      </c>
      <c r="O305" s="149">
        <f>3.5+7+2.75</f>
        <v>13.25</v>
      </c>
      <c r="P305" s="114">
        <f>4</f>
        <v>4</v>
      </c>
      <c r="Q305" s="114"/>
      <c r="R305" s="114"/>
      <c r="S305" s="114"/>
      <c r="T305" s="114"/>
      <c r="U305" s="114"/>
      <c r="V305" s="114"/>
      <c r="W305" s="114"/>
      <c r="X305" s="114">
        <v>1</v>
      </c>
      <c r="Y305" s="114"/>
      <c r="Z305" s="114"/>
      <c r="AA305" s="114"/>
      <c r="AB305" s="114"/>
      <c r="AC305" s="114"/>
      <c r="AD305" s="114"/>
      <c r="AE305" s="114"/>
      <c r="AF305" s="114"/>
    </row>
    <row r="306" spans="2:32" ht="12.75" customHeight="1" x14ac:dyDescent="0.2">
      <c r="B306" s="21">
        <v>1</v>
      </c>
      <c r="D306" s="114" t="s">
        <v>513</v>
      </c>
      <c r="E306" s="114" t="s">
        <v>753</v>
      </c>
      <c r="F306" s="285">
        <v>160123</v>
      </c>
      <c r="G306" s="286"/>
      <c r="H306" s="114"/>
      <c r="I306" s="156"/>
      <c r="J306" s="164"/>
      <c r="K306" s="232" t="s">
        <v>24</v>
      </c>
      <c r="L306" s="287" t="s">
        <v>139</v>
      </c>
      <c r="M306" s="288"/>
      <c r="N306" s="212">
        <v>1</v>
      </c>
      <c r="O306" s="149">
        <f>3.5+7+3</f>
        <v>13.5</v>
      </c>
      <c r="P306" s="114">
        <v>9</v>
      </c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</row>
    <row r="307" spans="2:32" ht="12.75" customHeight="1" x14ac:dyDescent="0.2">
      <c r="B307" s="21">
        <v>1</v>
      </c>
      <c r="D307" s="114" t="s">
        <v>514</v>
      </c>
      <c r="E307" s="114" t="s">
        <v>753</v>
      </c>
      <c r="F307" s="285">
        <v>160186</v>
      </c>
      <c r="G307" s="286"/>
      <c r="H307" s="114"/>
      <c r="I307" s="156"/>
      <c r="J307" s="164"/>
      <c r="K307" s="232" t="s">
        <v>24</v>
      </c>
      <c r="L307" s="287" t="s">
        <v>128</v>
      </c>
      <c r="M307" s="288"/>
      <c r="N307" s="212">
        <v>1</v>
      </c>
      <c r="O307" s="149">
        <f>3.5+7+1</f>
        <v>11.5</v>
      </c>
      <c r="P307" s="114">
        <f>6*1</f>
        <v>6</v>
      </c>
      <c r="Q307" s="114"/>
      <c r="R307" s="114"/>
      <c r="S307" s="114"/>
      <c r="T307" s="114"/>
      <c r="U307" s="114"/>
      <c r="V307" s="114"/>
      <c r="W307" s="114">
        <v>2</v>
      </c>
      <c r="X307" s="114"/>
      <c r="Y307" s="114"/>
      <c r="Z307" s="114"/>
      <c r="AA307" s="114"/>
      <c r="AB307" s="114"/>
      <c r="AC307" s="114"/>
      <c r="AD307" s="114"/>
      <c r="AE307" s="114"/>
      <c r="AF307" s="114"/>
    </row>
    <row r="308" spans="2:32" ht="12.75" customHeight="1" x14ac:dyDescent="0.2">
      <c r="B308" s="21">
        <v>1</v>
      </c>
      <c r="D308" s="114" t="s">
        <v>515</v>
      </c>
      <c r="E308" s="114" t="s">
        <v>753</v>
      </c>
      <c r="F308" s="285">
        <v>160180</v>
      </c>
      <c r="G308" s="286"/>
      <c r="H308" s="114"/>
      <c r="I308" s="156"/>
      <c r="J308" s="164"/>
      <c r="K308" s="232" t="s">
        <v>24</v>
      </c>
      <c r="L308" s="287" t="s">
        <v>127</v>
      </c>
      <c r="M308" s="288"/>
      <c r="N308" s="212">
        <v>1</v>
      </c>
      <c r="O308" s="149">
        <f>3.5+7+2.75</f>
        <v>13.25</v>
      </c>
      <c r="P308" s="114">
        <f>4</f>
        <v>4</v>
      </c>
      <c r="Q308" s="114"/>
      <c r="R308" s="114"/>
      <c r="S308" s="114"/>
      <c r="T308" s="114"/>
      <c r="U308" s="114"/>
      <c r="V308" s="114"/>
      <c r="W308" s="114"/>
      <c r="X308" s="114">
        <v>1</v>
      </c>
      <c r="Y308" s="114"/>
      <c r="Z308" s="114"/>
      <c r="AA308" s="114"/>
      <c r="AB308" s="114"/>
      <c r="AC308" s="114"/>
      <c r="AD308" s="114"/>
      <c r="AE308" s="114"/>
      <c r="AF308" s="114"/>
    </row>
    <row r="309" spans="2:32" ht="12.75" customHeight="1" x14ac:dyDescent="0.2">
      <c r="B309" s="21">
        <v>1</v>
      </c>
      <c r="D309" s="114" t="s">
        <v>516</v>
      </c>
      <c r="E309" s="114" t="s">
        <v>753</v>
      </c>
      <c r="F309" s="285">
        <v>173710</v>
      </c>
      <c r="G309" s="286"/>
      <c r="H309" s="114"/>
      <c r="I309" s="156"/>
      <c r="J309" s="164"/>
      <c r="K309" s="232" t="s">
        <v>24</v>
      </c>
      <c r="L309" s="287" t="s">
        <v>121</v>
      </c>
      <c r="M309" s="288"/>
      <c r="N309" s="212">
        <v>1</v>
      </c>
      <c r="O309" s="149">
        <f>3.5+7+2+1+1.25</f>
        <v>14.75</v>
      </c>
      <c r="P309" s="114">
        <f>2*1</f>
        <v>2</v>
      </c>
      <c r="Q309" s="114"/>
      <c r="R309" s="114"/>
      <c r="S309" s="114"/>
      <c r="T309" s="114"/>
      <c r="U309" s="114"/>
      <c r="V309" s="114"/>
      <c r="W309" s="114">
        <v>1</v>
      </c>
      <c r="X309" s="114"/>
      <c r="Y309" s="114"/>
      <c r="Z309" s="114"/>
      <c r="AA309" s="114"/>
      <c r="AB309" s="114"/>
      <c r="AC309" s="114"/>
      <c r="AD309" s="114"/>
      <c r="AE309" s="114"/>
      <c r="AF309" s="114"/>
    </row>
    <row r="310" spans="2:32" ht="12.75" customHeight="1" x14ac:dyDescent="0.2">
      <c r="B310" s="21">
        <v>1</v>
      </c>
      <c r="D310" s="114"/>
      <c r="E310" s="114" t="s">
        <v>753</v>
      </c>
      <c r="F310" s="285">
        <v>173710</v>
      </c>
      <c r="G310" s="286"/>
      <c r="H310" s="114"/>
      <c r="I310" s="156"/>
      <c r="J310" s="164"/>
      <c r="K310" s="232" t="s">
        <v>24</v>
      </c>
      <c r="L310" s="287" t="s">
        <v>669</v>
      </c>
      <c r="M310" s="288"/>
      <c r="N310" s="212">
        <v>1</v>
      </c>
      <c r="O310" s="149"/>
      <c r="P310" s="114">
        <f>2*2</f>
        <v>4</v>
      </c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</row>
    <row r="311" spans="2:32" ht="12.75" customHeight="1" x14ac:dyDescent="0.2">
      <c r="B311" s="21">
        <v>1</v>
      </c>
      <c r="D311" s="114"/>
      <c r="E311" s="114" t="s">
        <v>753</v>
      </c>
      <c r="F311" s="285">
        <v>173710</v>
      </c>
      <c r="G311" s="286"/>
      <c r="H311" s="114"/>
      <c r="I311" s="156"/>
      <c r="J311" s="164"/>
      <c r="K311" s="232" t="s">
        <v>24</v>
      </c>
      <c r="L311" s="287" t="s">
        <v>125</v>
      </c>
      <c r="M311" s="288"/>
      <c r="N311" s="212">
        <v>1</v>
      </c>
      <c r="O311" s="149"/>
      <c r="P311" s="114">
        <f>1.75*1.25</f>
        <v>2.1875</v>
      </c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</row>
    <row r="312" spans="2:32" ht="12.75" customHeight="1" x14ac:dyDescent="0.2">
      <c r="B312" s="21">
        <v>1</v>
      </c>
      <c r="D312" s="114" t="s">
        <v>517</v>
      </c>
      <c r="E312" s="114" t="s">
        <v>753</v>
      </c>
      <c r="F312" s="285">
        <v>160115</v>
      </c>
      <c r="G312" s="286"/>
      <c r="H312" s="114"/>
      <c r="I312" s="156"/>
      <c r="J312" s="164"/>
      <c r="K312" s="232" t="s">
        <v>24</v>
      </c>
      <c r="L312" s="287"/>
      <c r="M312" s="288"/>
      <c r="N312" s="212">
        <v>1</v>
      </c>
      <c r="O312" s="149"/>
      <c r="P312" s="114"/>
      <c r="Q312" s="114"/>
      <c r="R312" s="114"/>
      <c r="S312" s="114"/>
      <c r="T312" s="114">
        <v>1</v>
      </c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</row>
    <row r="313" spans="2:32" ht="12.75" customHeight="1" x14ac:dyDescent="0.2">
      <c r="B313" s="21">
        <v>1</v>
      </c>
      <c r="D313" s="114" t="s">
        <v>518</v>
      </c>
      <c r="E313" s="114" t="s">
        <v>753</v>
      </c>
      <c r="F313" s="285">
        <v>173400</v>
      </c>
      <c r="G313" s="286"/>
      <c r="H313" s="114"/>
      <c r="I313" s="156"/>
      <c r="J313" s="164"/>
      <c r="K313" s="232" t="s">
        <v>25</v>
      </c>
      <c r="L313" s="287" t="s">
        <v>121</v>
      </c>
      <c r="M313" s="288"/>
      <c r="N313" s="212">
        <v>1</v>
      </c>
      <c r="O313" s="149">
        <f>3.5+7+1+2+2+2.5</f>
        <v>18</v>
      </c>
      <c r="P313" s="114">
        <f>2*1</f>
        <v>2</v>
      </c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</row>
    <row r="314" spans="2:32" ht="12.75" customHeight="1" x14ac:dyDescent="0.2">
      <c r="B314" s="21">
        <v>1</v>
      </c>
      <c r="D314" s="114"/>
      <c r="E314" s="114" t="s">
        <v>753</v>
      </c>
      <c r="F314" s="285">
        <v>173400</v>
      </c>
      <c r="G314" s="286"/>
      <c r="H314" s="114"/>
      <c r="I314" s="156"/>
      <c r="J314" s="164"/>
      <c r="K314" s="232" t="s">
        <v>25</v>
      </c>
      <c r="L314" s="287" t="s">
        <v>669</v>
      </c>
      <c r="M314" s="288"/>
      <c r="N314" s="212">
        <v>1</v>
      </c>
      <c r="O314" s="149"/>
      <c r="P314" s="114">
        <f>2*2</f>
        <v>4</v>
      </c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</row>
    <row r="315" spans="2:32" ht="12.75" customHeight="1" x14ac:dyDescent="0.2">
      <c r="B315" s="21">
        <v>1</v>
      </c>
      <c r="D315" s="114"/>
      <c r="E315" s="114" t="s">
        <v>753</v>
      </c>
      <c r="F315" s="285">
        <v>173400</v>
      </c>
      <c r="G315" s="286"/>
      <c r="H315" s="114"/>
      <c r="I315" s="156"/>
      <c r="J315" s="164"/>
      <c r="K315" s="232" t="s">
        <v>25</v>
      </c>
      <c r="L315" s="287" t="s">
        <v>123</v>
      </c>
      <c r="M315" s="288"/>
      <c r="N315" s="212">
        <v>1</v>
      </c>
      <c r="O315" s="149"/>
      <c r="P315" s="114">
        <f>2*2</f>
        <v>4</v>
      </c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</row>
    <row r="316" spans="2:32" ht="12.75" customHeight="1" x14ac:dyDescent="0.2">
      <c r="B316" s="21">
        <v>1</v>
      </c>
      <c r="D316" s="114"/>
      <c r="E316" s="114" t="s">
        <v>753</v>
      </c>
      <c r="F316" s="285">
        <v>173400</v>
      </c>
      <c r="G316" s="286"/>
      <c r="H316" s="114"/>
      <c r="I316" s="156"/>
      <c r="J316" s="164"/>
      <c r="K316" s="232" t="s">
        <v>25</v>
      </c>
      <c r="L316" s="287" t="s">
        <v>124</v>
      </c>
      <c r="M316" s="288"/>
      <c r="N316" s="212">
        <v>1</v>
      </c>
      <c r="O316" s="149"/>
      <c r="P316" s="114">
        <f>2*2.5</f>
        <v>5</v>
      </c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</row>
    <row r="317" spans="2:32" ht="12.75" customHeight="1" x14ac:dyDescent="0.2">
      <c r="B317" s="21">
        <v>1</v>
      </c>
      <c r="D317" s="114" t="s">
        <v>519</v>
      </c>
      <c r="E317" s="114" t="s">
        <v>753</v>
      </c>
      <c r="F317" s="285">
        <v>173557</v>
      </c>
      <c r="G317" s="286"/>
      <c r="H317" s="114"/>
      <c r="I317" s="156"/>
      <c r="J317" s="164"/>
      <c r="K317" s="232" t="s">
        <v>25</v>
      </c>
      <c r="L317" s="287" t="s">
        <v>121</v>
      </c>
      <c r="M317" s="288"/>
      <c r="N317" s="212">
        <v>1</v>
      </c>
      <c r="O317" s="149">
        <f>3.5+7+1+2+1.25</f>
        <v>14.75</v>
      </c>
      <c r="P317" s="114">
        <f>2*1</f>
        <v>2</v>
      </c>
      <c r="Q317" s="114"/>
      <c r="R317" s="114"/>
      <c r="S317" s="114"/>
      <c r="T317" s="114"/>
      <c r="U317" s="114"/>
      <c r="V317" s="114"/>
      <c r="W317" s="114">
        <v>1</v>
      </c>
      <c r="X317" s="114"/>
      <c r="Y317" s="114"/>
      <c r="Z317" s="114"/>
      <c r="AA317" s="114"/>
      <c r="AB317" s="114"/>
      <c r="AC317" s="114"/>
      <c r="AD317" s="114"/>
      <c r="AE317" s="114"/>
      <c r="AF317" s="114"/>
    </row>
    <row r="318" spans="2:32" ht="12.75" customHeight="1" x14ac:dyDescent="0.2">
      <c r="B318" s="21">
        <v>1</v>
      </c>
      <c r="D318" s="114"/>
      <c r="E318" s="114" t="s">
        <v>753</v>
      </c>
      <c r="F318" s="285">
        <v>173557</v>
      </c>
      <c r="G318" s="286"/>
      <c r="H318" s="114"/>
      <c r="I318" s="156"/>
      <c r="J318" s="164"/>
      <c r="K318" s="232" t="s">
        <v>25</v>
      </c>
      <c r="L318" s="287" t="s">
        <v>669</v>
      </c>
      <c r="M318" s="288"/>
      <c r="N318" s="212">
        <v>1</v>
      </c>
      <c r="O318" s="149"/>
      <c r="P318" s="114">
        <f>2*2</f>
        <v>4</v>
      </c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</row>
    <row r="319" spans="2:32" ht="12.75" customHeight="1" x14ac:dyDescent="0.2">
      <c r="B319" s="21">
        <v>1</v>
      </c>
      <c r="D319" s="114"/>
      <c r="E319" s="114" t="s">
        <v>753</v>
      </c>
      <c r="F319" s="285">
        <v>173557</v>
      </c>
      <c r="G319" s="286"/>
      <c r="H319" s="114"/>
      <c r="I319" s="156"/>
      <c r="J319" s="164"/>
      <c r="K319" s="232" t="s">
        <v>25</v>
      </c>
      <c r="L319" s="287" t="s">
        <v>125</v>
      </c>
      <c r="M319" s="288"/>
      <c r="N319" s="212">
        <v>1</v>
      </c>
      <c r="O319" s="149"/>
      <c r="P319" s="114">
        <f>1.75*1.25</f>
        <v>2.1875</v>
      </c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</row>
    <row r="320" spans="2:32" ht="12.75" customHeight="1" x14ac:dyDescent="0.2">
      <c r="B320" s="21">
        <v>1</v>
      </c>
      <c r="D320" s="114" t="s">
        <v>520</v>
      </c>
      <c r="E320" s="114" t="s">
        <v>753</v>
      </c>
      <c r="F320" s="285">
        <v>173587</v>
      </c>
      <c r="G320" s="286"/>
      <c r="H320" s="114"/>
      <c r="I320" s="156"/>
      <c r="J320" s="164"/>
      <c r="K320" s="232" t="s">
        <v>25</v>
      </c>
      <c r="L320" s="287" t="s">
        <v>101</v>
      </c>
      <c r="M320" s="288"/>
      <c r="N320" s="212">
        <v>1</v>
      </c>
      <c r="O320" s="149">
        <f>3.5+7+4.5+1</f>
        <v>16</v>
      </c>
      <c r="P320" s="114">
        <f>3*3</f>
        <v>9</v>
      </c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</row>
    <row r="321" spans="2:34" ht="12.75" customHeight="1" x14ac:dyDescent="0.2">
      <c r="B321" s="21">
        <v>1</v>
      </c>
      <c r="D321" s="155"/>
      <c r="E321" s="114" t="s">
        <v>753</v>
      </c>
      <c r="F321" s="285">
        <v>173587</v>
      </c>
      <c r="G321" s="286"/>
      <c r="H321" s="155"/>
      <c r="I321" s="165"/>
      <c r="J321" s="241"/>
      <c r="K321" s="233" t="s">
        <v>25</v>
      </c>
      <c r="L321" s="287" t="s">
        <v>100</v>
      </c>
      <c r="M321" s="288"/>
      <c r="N321" s="212">
        <v>1</v>
      </c>
      <c r="O321" s="149"/>
      <c r="P321" s="114">
        <f>2*1</f>
        <v>2</v>
      </c>
      <c r="Q321" s="114"/>
      <c r="R321" s="114"/>
      <c r="S321" s="155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</row>
    <row r="322" spans="2:34" ht="12.75" customHeight="1" x14ac:dyDescent="0.2">
      <c r="B322" s="21">
        <v>1</v>
      </c>
      <c r="D322" s="114" t="s">
        <v>521</v>
      </c>
      <c r="E322" s="114" t="s">
        <v>753</v>
      </c>
      <c r="F322" s="285">
        <v>173587</v>
      </c>
      <c r="G322" s="286"/>
      <c r="H322" s="114"/>
      <c r="I322" s="156"/>
      <c r="J322" s="164"/>
      <c r="K322" s="232" t="s">
        <v>25</v>
      </c>
      <c r="L322" s="287" t="s">
        <v>127</v>
      </c>
      <c r="M322" s="288"/>
      <c r="N322" s="212">
        <v>1</v>
      </c>
      <c r="O322" s="149">
        <f>3.5+7+2.75</f>
        <v>13.25</v>
      </c>
      <c r="P322" s="114">
        <f>4</f>
        <v>4</v>
      </c>
      <c r="Q322" s="114"/>
      <c r="R322" s="114"/>
      <c r="S322" s="114"/>
      <c r="T322" s="114"/>
      <c r="U322" s="114"/>
      <c r="V322" s="114"/>
      <c r="W322" s="114"/>
      <c r="X322" s="114">
        <v>1</v>
      </c>
      <c r="Y322" s="114"/>
      <c r="Z322" s="114"/>
      <c r="AA322" s="114"/>
      <c r="AB322" s="114"/>
      <c r="AC322" s="114"/>
      <c r="AD322" s="114"/>
      <c r="AE322" s="114"/>
      <c r="AF322" s="114"/>
    </row>
    <row r="323" spans="2:34" ht="12.75" customHeight="1" x14ac:dyDescent="0.2">
      <c r="B323" s="21">
        <v>1</v>
      </c>
      <c r="D323" s="114" t="s">
        <v>522</v>
      </c>
      <c r="E323" s="114" t="s">
        <v>753</v>
      </c>
      <c r="F323" s="285">
        <v>173619</v>
      </c>
      <c r="G323" s="286"/>
      <c r="H323" s="114"/>
      <c r="I323" s="156"/>
      <c r="J323" s="164"/>
      <c r="K323" s="232" t="s">
        <v>25</v>
      </c>
      <c r="L323" s="287"/>
      <c r="M323" s="288"/>
      <c r="N323" s="212">
        <v>1</v>
      </c>
      <c r="O323" s="149"/>
      <c r="P323" s="114"/>
      <c r="Q323" s="114"/>
      <c r="R323" s="114"/>
      <c r="S323" s="114"/>
      <c r="T323" s="114">
        <v>1</v>
      </c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</row>
    <row r="324" spans="2:34" ht="12.75" customHeight="1" x14ac:dyDescent="0.2">
      <c r="B324" s="21">
        <v>1</v>
      </c>
      <c r="D324" s="114" t="s">
        <v>523</v>
      </c>
      <c r="E324" s="114" t="s">
        <v>753</v>
      </c>
      <c r="F324" s="285">
        <v>173658</v>
      </c>
      <c r="G324" s="286"/>
      <c r="H324" s="114"/>
      <c r="I324" s="156"/>
      <c r="J324" s="164"/>
      <c r="K324" s="232" t="s">
        <v>25</v>
      </c>
      <c r="L324" s="287" t="s">
        <v>101</v>
      </c>
      <c r="M324" s="288"/>
      <c r="N324" s="212">
        <v>1</v>
      </c>
      <c r="O324" s="149">
        <f>3.5+7+4.5+1</f>
        <v>16</v>
      </c>
      <c r="P324" s="114">
        <f>3*3</f>
        <v>9</v>
      </c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</row>
    <row r="325" spans="2:34" ht="12.75" customHeight="1" x14ac:dyDescent="0.2">
      <c r="B325" s="21"/>
      <c r="D325" s="114"/>
      <c r="E325" s="114" t="s">
        <v>753</v>
      </c>
      <c r="F325" s="285">
        <v>173658</v>
      </c>
      <c r="G325" s="286"/>
      <c r="H325" s="114"/>
      <c r="I325" s="156"/>
      <c r="J325" s="164"/>
      <c r="K325" s="232" t="s">
        <v>25</v>
      </c>
      <c r="L325" s="287" t="s">
        <v>100</v>
      </c>
      <c r="M325" s="288"/>
      <c r="N325" s="212">
        <v>1</v>
      </c>
      <c r="O325" s="149"/>
      <c r="P325" s="114">
        <f>2*1</f>
        <v>2</v>
      </c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</row>
    <row r="326" spans="2:34" ht="12.75" customHeight="1" x14ac:dyDescent="0.2">
      <c r="B326" s="21">
        <v>1</v>
      </c>
      <c r="D326" s="114" t="s">
        <v>524</v>
      </c>
      <c r="E326" s="114" t="s">
        <v>753</v>
      </c>
      <c r="F326" s="285">
        <v>173712</v>
      </c>
      <c r="G326" s="286"/>
      <c r="H326" s="114"/>
      <c r="I326" s="156"/>
      <c r="J326" s="164"/>
      <c r="K326" s="232" t="s">
        <v>25</v>
      </c>
      <c r="L326" s="287" t="s">
        <v>127</v>
      </c>
      <c r="M326" s="288"/>
      <c r="N326" s="212">
        <v>1</v>
      </c>
      <c r="O326" s="149">
        <f>3.5+7+2.75</f>
        <v>13.25</v>
      </c>
      <c r="P326" s="114">
        <f>4</f>
        <v>4</v>
      </c>
      <c r="Q326" s="114"/>
      <c r="R326" s="114"/>
      <c r="S326" s="114"/>
      <c r="T326" s="114"/>
      <c r="U326" s="114"/>
      <c r="V326" s="114"/>
      <c r="W326" s="114"/>
      <c r="X326" s="114">
        <v>1</v>
      </c>
      <c r="Y326" s="114"/>
      <c r="Z326" s="114"/>
      <c r="AA326" s="114"/>
      <c r="AB326" s="114"/>
      <c r="AC326" s="114"/>
      <c r="AD326" s="114"/>
      <c r="AE326" s="114"/>
      <c r="AF326" s="114"/>
    </row>
    <row r="327" spans="2:34" ht="12.75" customHeight="1" x14ac:dyDescent="0.2">
      <c r="B327" s="21"/>
      <c r="D327" s="114"/>
      <c r="E327" s="114"/>
      <c r="F327" s="147"/>
      <c r="G327" s="148"/>
      <c r="H327" s="114"/>
      <c r="I327" s="156"/>
      <c r="J327" s="164"/>
      <c r="K327" s="232"/>
      <c r="L327" s="156"/>
      <c r="M327" s="157"/>
      <c r="N327" s="212"/>
      <c r="O327" s="149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</row>
    <row r="328" spans="2:34" ht="12.75" customHeight="1" x14ac:dyDescent="0.2">
      <c r="B328" s="21"/>
      <c r="D328" s="114"/>
      <c r="E328" s="114"/>
      <c r="F328" s="147"/>
      <c r="G328" s="148"/>
      <c r="H328" s="114"/>
      <c r="I328" s="156"/>
      <c r="J328" s="164"/>
      <c r="K328" s="232"/>
      <c r="L328" s="156"/>
      <c r="M328" s="157"/>
      <c r="N328" s="212"/>
      <c r="O328" s="139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</row>
    <row r="329" spans="2:34" ht="12.75" customHeight="1" thickBot="1" x14ac:dyDescent="0.25">
      <c r="B329" s="21"/>
      <c r="D329" s="114"/>
      <c r="E329" s="114"/>
      <c r="F329" s="190"/>
      <c r="G329" s="243"/>
      <c r="H329" s="205"/>
      <c r="I329" s="159"/>
      <c r="J329" s="242"/>
      <c r="K329" s="232"/>
      <c r="L329" s="156"/>
      <c r="M329" s="157"/>
      <c r="N329" s="213"/>
      <c r="O329" s="139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</row>
    <row r="330" spans="2:34" ht="12.75" customHeight="1" x14ac:dyDescent="0.2">
      <c r="B330" s="5" t="s">
        <v>11</v>
      </c>
      <c r="D330" s="271" t="s">
        <v>766</v>
      </c>
      <c r="E330" s="272"/>
      <c r="F330" s="272"/>
      <c r="G330" s="272"/>
      <c r="H330" s="272"/>
      <c r="I330" s="272"/>
      <c r="J330" s="272"/>
      <c r="K330" s="272"/>
      <c r="L330" s="272"/>
      <c r="M330" s="272"/>
      <c r="N330" s="291"/>
      <c r="O330" s="160">
        <f>SUM(O270:O329)</f>
        <v>316.25</v>
      </c>
      <c r="P330" s="160">
        <f t="shared" ref="P330:AF330" si="42">SUM(P270:P329)</f>
        <v>160.375</v>
      </c>
      <c r="Q330" s="160">
        <f t="shared" si="42"/>
        <v>24</v>
      </c>
      <c r="R330" s="160">
        <f t="shared" si="42"/>
        <v>19</v>
      </c>
      <c r="S330" s="160">
        <f t="shared" si="42"/>
        <v>0</v>
      </c>
      <c r="T330" s="160">
        <f t="shared" si="42"/>
        <v>3</v>
      </c>
      <c r="U330" s="160">
        <f t="shared" si="42"/>
        <v>0</v>
      </c>
      <c r="V330" s="160">
        <f t="shared" si="42"/>
        <v>0</v>
      </c>
      <c r="W330" s="160">
        <f t="shared" si="42"/>
        <v>5</v>
      </c>
      <c r="X330" s="160">
        <f t="shared" si="42"/>
        <v>11</v>
      </c>
      <c r="Y330" s="160">
        <f t="shared" si="42"/>
        <v>0</v>
      </c>
      <c r="Z330" s="160">
        <f t="shared" si="42"/>
        <v>0</v>
      </c>
      <c r="AA330" s="160">
        <f t="shared" si="42"/>
        <v>0</v>
      </c>
      <c r="AB330" s="160">
        <f t="shared" si="42"/>
        <v>0</v>
      </c>
      <c r="AC330" s="160">
        <f t="shared" si="42"/>
        <v>0</v>
      </c>
      <c r="AD330" s="160">
        <f t="shared" si="42"/>
        <v>0</v>
      </c>
      <c r="AE330" s="160">
        <f t="shared" si="42"/>
        <v>0</v>
      </c>
      <c r="AF330" s="160">
        <f t="shared" si="42"/>
        <v>0</v>
      </c>
      <c r="AG330" s="69" t="str">
        <f t="shared" ref="AG330" si="43">IF(AG254="","",IF(OR(AG269="", AG269="LS", AG269="LUMP"),IF(SUM(COUNTIF(AG301:AG329,"LS")+COUNTIF(AG301:AG329,"LUMP"))&gt;0,"LS",""),IF(SUM(AG301:AG329)&gt;0,ROUNDUP(SUM(AG301:AG329),0),"")))</f>
        <v/>
      </c>
    </row>
    <row r="331" spans="2:34" ht="12.75" customHeight="1" x14ac:dyDescent="0.2">
      <c r="D331" s="94" t="s">
        <v>701</v>
      </c>
      <c r="E331" s="78"/>
      <c r="F331" s="78"/>
      <c r="G331" s="78"/>
      <c r="H331" s="78"/>
      <c r="I331" s="78"/>
      <c r="J331" s="239"/>
      <c r="K331" s="78"/>
      <c r="L331" s="226"/>
      <c r="M331" s="69"/>
      <c r="N331" s="229"/>
      <c r="O331" s="69">
        <f>SUMIF($N270:$N329, 1, O270:O329)</f>
        <v>316.25</v>
      </c>
      <c r="P331" s="69">
        <f t="shared" ref="P331:AF331" si="44">SUMIF($N270:$N329, 1, P270:P329)</f>
        <v>160.375</v>
      </c>
      <c r="Q331" s="69">
        <f t="shared" si="44"/>
        <v>24</v>
      </c>
      <c r="R331" s="69">
        <f t="shared" si="44"/>
        <v>19</v>
      </c>
      <c r="S331" s="69">
        <f t="shared" si="44"/>
        <v>0</v>
      </c>
      <c r="T331" s="69">
        <f t="shared" si="44"/>
        <v>3</v>
      </c>
      <c r="U331" s="69">
        <f t="shared" si="44"/>
        <v>0</v>
      </c>
      <c r="V331" s="69">
        <f t="shared" si="44"/>
        <v>0</v>
      </c>
      <c r="W331" s="69">
        <f t="shared" si="44"/>
        <v>5</v>
      </c>
      <c r="X331" s="69">
        <f t="shared" si="44"/>
        <v>11</v>
      </c>
      <c r="Y331" s="69">
        <f t="shared" si="44"/>
        <v>0</v>
      </c>
      <c r="Z331" s="69">
        <f t="shared" si="44"/>
        <v>0</v>
      </c>
      <c r="AA331" s="69">
        <f t="shared" si="44"/>
        <v>0</v>
      </c>
      <c r="AB331" s="69">
        <f t="shared" si="44"/>
        <v>0</v>
      </c>
      <c r="AC331" s="69">
        <f t="shared" si="44"/>
        <v>0</v>
      </c>
      <c r="AD331" s="69">
        <f t="shared" si="44"/>
        <v>0</v>
      </c>
      <c r="AE331" s="69">
        <f t="shared" si="44"/>
        <v>0</v>
      </c>
      <c r="AF331" s="69">
        <f t="shared" si="44"/>
        <v>0</v>
      </c>
      <c r="AG331" s="69"/>
      <c r="AH331" s="69"/>
    </row>
    <row r="332" spans="2:34" ht="12.75" customHeight="1" x14ac:dyDescent="0.2">
      <c r="D332" s="94" t="s">
        <v>702</v>
      </c>
      <c r="E332" s="78"/>
      <c r="F332" s="78"/>
      <c r="G332" s="78"/>
      <c r="H332" s="78"/>
      <c r="I332" s="78"/>
      <c r="J332" s="239"/>
      <c r="K332" s="78"/>
      <c r="L332" s="226"/>
      <c r="M332" s="69"/>
      <c r="N332" s="229"/>
      <c r="O332" s="69">
        <f>SUMIF($N270:$N329, 4, O270:O329)</f>
        <v>0</v>
      </c>
      <c r="P332" s="69">
        <f t="shared" ref="P332:AF332" si="45">SUMIF($N270:$N329, 4, P270:P329)</f>
        <v>0</v>
      </c>
      <c r="Q332" s="69">
        <f t="shared" si="45"/>
        <v>0</v>
      </c>
      <c r="R332" s="69">
        <f t="shared" si="45"/>
        <v>0</v>
      </c>
      <c r="S332" s="69">
        <f t="shared" si="45"/>
        <v>0</v>
      </c>
      <c r="T332" s="69">
        <f t="shared" si="45"/>
        <v>0</v>
      </c>
      <c r="U332" s="69">
        <f t="shared" si="45"/>
        <v>0</v>
      </c>
      <c r="V332" s="69">
        <f t="shared" si="45"/>
        <v>0</v>
      </c>
      <c r="W332" s="69">
        <f t="shared" si="45"/>
        <v>0</v>
      </c>
      <c r="X332" s="69">
        <f t="shared" si="45"/>
        <v>0</v>
      </c>
      <c r="Y332" s="69">
        <f t="shared" si="45"/>
        <v>0</v>
      </c>
      <c r="Z332" s="69">
        <f t="shared" si="45"/>
        <v>0</v>
      </c>
      <c r="AA332" s="69">
        <f t="shared" si="45"/>
        <v>0</v>
      </c>
      <c r="AB332" s="69">
        <f t="shared" si="45"/>
        <v>0</v>
      </c>
      <c r="AC332" s="69">
        <f t="shared" si="45"/>
        <v>0</v>
      </c>
      <c r="AD332" s="69">
        <f t="shared" si="45"/>
        <v>0</v>
      </c>
      <c r="AE332" s="69">
        <f t="shared" si="45"/>
        <v>0</v>
      </c>
      <c r="AF332" s="69">
        <f t="shared" si="45"/>
        <v>0</v>
      </c>
      <c r="AG332" s="69"/>
      <c r="AH332" s="69"/>
    </row>
    <row r="333" spans="2:34" ht="12.75" customHeight="1" x14ac:dyDescent="0.2">
      <c r="D333" s="94" t="s">
        <v>703</v>
      </c>
      <c r="E333" s="78"/>
      <c r="F333" s="78"/>
      <c r="G333" s="78"/>
      <c r="H333" s="78"/>
      <c r="I333" s="78"/>
      <c r="J333" s="239"/>
      <c r="K333" s="78"/>
      <c r="L333" s="226"/>
      <c r="M333" s="69"/>
      <c r="N333" s="229"/>
      <c r="O333" s="69">
        <f>SUMIF($N270:$N329, 6, O270:O329)</f>
        <v>0</v>
      </c>
      <c r="P333" s="69">
        <f t="shared" ref="P333:AF333" si="46">SUMIF($N270:$N329, 6, P270:P329)</f>
        <v>0</v>
      </c>
      <c r="Q333" s="69">
        <f t="shared" si="46"/>
        <v>0</v>
      </c>
      <c r="R333" s="69">
        <f t="shared" si="46"/>
        <v>0</v>
      </c>
      <c r="S333" s="69">
        <f t="shared" si="46"/>
        <v>0</v>
      </c>
      <c r="T333" s="69">
        <f t="shared" si="46"/>
        <v>0</v>
      </c>
      <c r="U333" s="69">
        <f t="shared" si="46"/>
        <v>0</v>
      </c>
      <c r="V333" s="69">
        <f t="shared" si="46"/>
        <v>0</v>
      </c>
      <c r="W333" s="69">
        <f t="shared" si="46"/>
        <v>0</v>
      </c>
      <c r="X333" s="69">
        <f t="shared" si="46"/>
        <v>0</v>
      </c>
      <c r="Y333" s="69">
        <f t="shared" si="46"/>
        <v>0</v>
      </c>
      <c r="Z333" s="69">
        <f t="shared" si="46"/>
        <v>0</v>
      </c>
      <c r="AA333" s="69">
        <f t="shared" si="46"/>
        <v>0</v>
      </c>
      <c r="AB333" s="69">
        <f t="shared" si="46"/>
        <v>0</v>
      </c>
      <c r="AC333" s="69">
        <f t="shared" si="46"/>
        <v>0</v>
      </c>
      <c r="AD333" s="69">
        <f t="shared" si="46"/>
        <v>0</v>
      </c>
      <c r="AE333" s="69">
        <f t="shared" si="46"/>
        <v>0</v>
      </c>
      <c r="AF333" s="69">
        <f t="shared" si="46"/>
        <v>0</v>
      </c>
      <c r="AG333" s="69"/>
      <c r="AH333" s="69"/>
    </row>
    <row r="334" spans="2:34" ht="12.75" customHeight="1" thickBot="1" x14ac:dyDescent="0.25"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</row>
    <row r="335" spans="2:34" ht="12.75" customHeight="1" thickBot="1" x14ac:dyDescent="0.25">
      <c r="B335" s="20" t="s">
        <v>9</v>
      </c>
      <c r="D335" s="295" t="str">
        <f>"SUBSUMMARY SHEET " &amp; B336</f>
        <v>SUBSUMMARY SHEET 5</v>
      </c>
      <c r="E335" s="295"/>
      <c r="F335" s="295"/>
      <c r="G335" s="295"/>
      <c r="H335" s="295"/>
      <c r="I335" s="295"/>
      <c r="J335" s="295"/>
      <c r="K335" s="295"/>
      <c r="L335" s="295"/>
      <c r="M335" s="295"/>
      <c r="N335" s="295"/>
      <c r="O335" s="295"/>
      <c r="P335" s="295"/>
      <c r="Q335" s="295"/>
      <c r="R335" s="295"/>
      <c r="S335" s="295"/>
      <c r="T335" s="295"/>
      <c r="U335" s="295"/>
      <c r="V335" s="295"/>
      <c r="W335" s="295"/>
      <c r="X335" s="295"/>
      <c r="Y335" s="295"/>
      <c r="Z335" s="295"/>
      <c r="AA335" s="295"/>
      <c r="AB335" s="295"/>
      <c r="AC335" s="295"/>
      <c r="AD335" s="295"/>
      <c r="AE335" s="295"/>
      <c r="AF335" s="295"/>
    </row>
    <row r="336" spans="2:34" ht="12.75" customHeight="1" thickBot="1" x14ac:dyDescent="0.25">
      <c r="B336" s="24">
        <v>5</v>
      </c>
      <c r="D336" s="309" t="s">
        <v>7</v>
      </c>
      <c r="E336" s="309"/>
      <c r="F336" s="309"/>
      <c r="G336" s="309"/>
      <c r="H336" s="309"/>
      <c r="I336" s="309"/>
      <c r="J336" s="309"/>
      <c r="K336" s="19"/>
      <c r="L336" s="224"/>
      <c r="M336" s="19"/>
      <c r="N336" s="224"/>
      <c r="O336" s="19" t="s">
        <v>28</v>
      </c>
      <c r="P336" s="19" t="s">
        <v>29</v>
      </c>
      <c r="Q336" s="19" t="s">
        <v>30</v>
      </c>
      <c r="R336" s="19" t="s">
        <v>31</v>
      </c>
      <c r="S336" s="19" t="s">
        <v>682</v>
      </c>
      <c r="T336" s="19" t="s">
        <v>687</v>
      </c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</row>
    <row r="337" spans="2:32" ht="12.75" customHeight="1" thickBot="1" x14ac:dyDescent="0.25">
      <c r="D337" s="310" t="s">
        <v>8</v>
      </c>
      <c r="E337" s="310"/>
      <c r="F337" s="310"/>
      <c r="G337" s="310"/>
      <c r="H337" s="310"/>
      <c r="I337" s="310"/>
      <c r="J337" s="310"/>
      <c r="K337" s="15"/>
      <c r="L337" s="227"/>
      <c r="M337" s="15"/>
      <c r="N337" s="22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2:32" ht="12.75" customHeight="1" x14ac:dyDescent="0.2">
      <c r="B338" s="250" t="s">
        <v>10</v>
      </c>
      <c r="D338" s="253" t="s">
        <v>20</v>
      </c>
      <c r="E338" s="253" t="s">
        <v>21</v>
      </c>
      <c r="F338" s="256" t="s">
        <v>0</v>
      </c>
      <c r="G338" s="257"/>
      <c r="H338" s="257"/>
      <c r="I338" s="257"/>
      <c r="J338" s="312"/>
      <c r="K338" s="300" t="s">
        <v>23</v>
      </c>
      <c r="L338" s="303" t="s">
        <v>568</v>
      </c>
      <c r="M338" s="304"/>
      <c r="N338" s="324" t="s">
        <v>704</v>
      </c>
      <c r="O338" s="161" t="str">
        <f t="shared" ref="O338:R338" si="47">IF(OR(TRIM(O336)=0,TRIM(O336)=""),"",IF(IFERROR(TRIM(INDEX(QryItemNamed,MATCH(TRIM(O336),ITEM,0),2)),"")="Y","SPECIAL",LEFT(IFERROR(TRIM(INDEX(ITEM,MATCH(TRIM(O336),ITEM,0))),""),3)))</f>
        <v>630</v>
      </c>
      <c r="P338" s="145" t="str">
        <f t="shared" si="47"/>
        <v>630</v>
      </c>
      <c r="Q338" s="145" t="str">
        <f t="shared" si="47"/>
        <v>630</v>
      </c>
      <c r="R338" s="145" t="str">
        <f t="shared" si="47"/>
        <v>630</v>
      </c>
      <c r="S338" s="145">
        <v>630</v>
      </c>
      <c r="T338" s="145">
        <v>620</v>
      </c>
      <c r="U338" s="145">
        <v>630</v>
      </c>
      <c r="V338" s="145">
        <v>632</v>
      </c>
      <c r="W338" s="145">
        <v>630</v>
      </c>
      <c r="X338" s="145">
        <v>630</v>
      </c>
      <c r="Y338" s="145"/>
      <c r="Z338" s="145"/>
      <c r="AA338" s="145"/>
      <c r="AB338" s="145"/>
      <c r="AC338" s="145"/>
      <c r="AD338" s="145" t="str">
        <f t="shared" ref="AD338:AF338" si="48">IF(OR(TRIM(AD336)=0,TRIM(AD336)=""),"",IF(IFERROR(TRIM(INDEX(QryItemNamed,MATCH(TRIM(AD336),ITEM,0),2)),"")="Y","SPECIAL",LEFT(IFERROR(TRIM(INDEX(ITEM,MATCH(TRIM(AD336),ITEM,0))),""),3)))</f>
        <v/>
      </c>
      <c r="AE338" s="145" t="str">
        <f t="shared" si="48"/>
        <v/>
      </c>
      <c r="AF338" s="145" t="str">
        <f t="shared" si="48"/>
        <v/>
      </c>
    </row>
    <row r="339" spans="2:32" ht="12.75" customHeight="1" x14ac:dyDescent="0.2">
      <c r="B339" s="251"/>
      <c r="D339" s="254"/>
      <c r="E339" s="254"/>
      <c r="F339" s="258"/>
      <c r="G339" s="259"/>
      <c r="H339" s="259"/>
      <c r="I339" s="259"/>
      <c r="J339" s="313"/>
      <c r="K339" s="301"/>
      <c r="L339" s="305"/>
      <c r="M339" s="306"/>
      <c r="N339" s="325"/>
      <c r="O339" s="311" t="str">
        <f t="shared" ref="O339:R339" si="49">IF(OR(TRIM(O336)=0,TRIM(O336)=""),IF(O337="","",O337),IF(IFERROR(TRIM(INDEX(QryItemNamed,MATCH(TRIM(O336),ITEM,0),2)),"")="Y",TRIM(RIGHT(IFERROR(TRIM(INDEX(QryItemNamed,MATCH(TRIM(O336),ITEM,0),4)),"123456789012"),LEN(IFERROR(TRIM(INDEX(QryItemNamed,MATCH(TRIM(O336),ITEM,0),4)),"123456789012"))-9))&amp;O337,IFERROR(TRIM(INDEX(QryItemNamed,MATCH(TRIM(O336),ITEM,0),4))&amp;O337,"ITEM CODE DOES NOT EXIST IN ITEM MASTER")))</f>
        <v>GROUND MOUNTED SUPPORT, NO. 3 POST</v>
      </c>
      <c r="P339" s="290" t="str">
        <f t="shared" si="49"/>
        <v>SIGN, FLAT SHEET</v>
      </c>
      <c r="Q339" s="290" t="str">
        <f t="shared" si="49"/>
        <v>REMOVAL OF GROUND MOUNTED SIGN AND DISPOSAL</v>
      </c>
      <c r="R339" s="290" t="str">
        <f t="shared" si="49"/>
        <v>REMOVAL OF GROUND MOUNTED POST SUPPORT AND DISPOSAL</v>
      </c>
      <c r="S339" s="290" t="str">
        <f t="shared" ref="S339" si="50">IF(OR(TRIM(S336)=0,TRIM(S336)=""),IF(S337="","",S337),IF(IFERROR(TRIM(INDEX(QryItemNamed,MATCH(TRIM(S336),ITEM,0),2)),"")="Y",TRIM(RIGHT(IFERROR(TRIM(INDEX(QryItemNamed,MATCH(TRIM(S336),ITEM,0),4)),"123456789012"),LEN(IFERROR(TRIM(INDEX(QryItemNamed,MATCH(TRIM(S336),ITEM,0),4)),"123456789012"))-9))&amp;S337,IFERROR(TRIM(INDEX(QryItemNamed,MATCH(TRIM(S336),ITEM,0),4))&amp;S337,"ITEM CODE DOES NOT EXIST IN ITEM MASTER")))</f>
        <v>SIGN SUPPORT ASSEMBLY, POLE MOUNTED</v>
      </c>
      <c r="T339" s="244" t="s">
        <v>697</v>
      </c>
      <c r="U339" s="278" t="s">
        <v>690</v>
      </c>
      <c r="V339" s="278" t="s">
        <v>691</v>
      </c>
      <c r="W339" s="278" t="s">
        <v>768</v>
      </c>
      <c r="X339" s="278" t="s">
        <v>710</v>
      </c>
      <c r="Y339" s="278"/>
      <c r="Z339" s="278"/>
      <c r="AA339" s="290"/>
      <c r="AB339" s="268"/>
      <c r="AC339" s="290"/>
      <c r="AD339" s="278" t="str">
        <f t="shared" ref="AD339:AF339" si="51">IF(OR(TRIM(AD336)=0,TRIM(AD336)=""),IF(AD337="","",AD337),IF(IFERROR(TRIM(INDEX(QryItemNamed,MATCH(TRIM(AD336),ITEM,0),2)),"")="Y",TRIM(RIGHT(IFERROR(TRIM(INDEX(QryItemNamed,MATCH(TRIM(AD336),ITEM,0),4)),"123456789012"),LEN(IFERROR(TRIM(INDEX(QryItemNamed,MATCH(TRIM(AD336),ITEM,0),4)),"123456789012"))-9))&amp;AD337,IFERROR(TRIM(INDEX(QryItemNamed,MATCH(TRIM(AD336),ITEM,0),4))&amp;AD337,"ITEM CODE DOES NOT EXIST IN ITEM MASTER")))</f>
        <v/>
      </c>
      <c r="AE339" s="278" t="str">
        <f t="shared" si="51"/>
        <v/>
      </c>
      <c r="AF339" s="278" t="str">
        <f t="shared" si="51"/>
        <v/>
      </c>
    </row>
    <row r="340" spans="2:32" ht="12.75" customHeight="1" x14ac:dyDescent="0.2">
      <c r="B340" s="251"/>
      <c r="D340" s="254"/>
      <c r="E340" s="254"/>
      <c r="F340" s="258"/>
      <c r="G340" s="259"/>
      <c r="H340" s="259"/>
      <c r="I340" s="259"/>
      <c r="J340" s="313"/>
      <c r="K340" s="301"/>
      <c r="L340" s="305"/>
      <c r="M340" s="306"/>
      <c r="N340" s="325"/>
      <c r="O340" s="311"/>
      <c r="P340" s="290"/>
      <c r="Q340" s="290"/>
      <c r="R340" s="290"/>
      <c r="S340" s="290"/>
      <c r="T340" s="245"/>
      <c r="U340" s="278"/>
      <c r="V340" s="278"/>
      <c r="W340" s="278"/>
      <c r="X340" s="278"/>
      <c r="Y340" s="278"/>
      <c r="Z340" s="278"/>
      <c r="AA340" s="290"/>
      <c r="AB340" s="269"/>
      <c r="AC340" s="290"/>
      <c r="AD340" s="278"/>
      <c r="AE340" s="278"/>
      <c r="AF340" s="278"/>
    </row>
    <row r="341" spans="2:32" ht="12.75" customHeight="1" x14ac:dyDescent="0.2">
      <c r="B341" s="251"/>
      <c r="D341" s="254"/>
      <c r="E341" s="254"/>
      <c r="F341" s="258"/>
      <c r="G341" s="259"/>
      <c r="H341" s="259"/>
      <c r="I341" s="259"/>
      <c r="J341" s="313"/>
      <c r="K341" s="301"/>
      <c r="L341" s="305"/>
      <c r="M341" s="306"/>
      <c r="N341" s="325"/>
      <c r="O341" s="311"/>
      <c r="P341" s="290"/>
      <c r="Q341" s="290"/>
      <c r="R341" s="290"/>
      <c r="S341" s="290"/>
      <c r="T341" s="245"/>
      <c r="U341" s="278"/>
      <c r="V341" s="278"/>
      <c r="W341" s="278"/>
      <c r="X341" s="278"/>
      <c r="Y341" s="278"/>
      <c r="Z341" s="278"/>
      <c r="AA341" s="290"/>
      <c r="AB341" s="269"/>
      <c r="AC341" s="290"/>
      <c r="AD341" s="278"/>
      <c r="AE341" s="278"/>
      <c r="AF341" s="278"/>
    </row>
    <row r="342" spans="2:32" ht="12.75" customHeight="1" x14ac:dyDescent="0.2">
      <c r="B342" s="251"/>
      <c r="D342" s="254"/>
      <c r="E342" s="254"/>
      <c r="F342" s="258"/>
      <c r="G342" s="259"/>
      <c r="H342" s="259"/>
      <c r="I342" s="259"/>
      <c r="J342" s="313"/>
      <c r="K342" s="301"/>
      <c r="L342" s="305"/>
      <c r="M342" s="306"/>
      <c r="N342" s="325"/>
      <c r="O342" s="311"/>
      <c r="P342" s="290"/>
      <c r="Q342" s="290"/>
      <c r="R342" s="290"/>
      <c r="S342" s="290"/>
      <c r="T342" s="245"/>
      <c r="U342" s="278"/>
      <c r="V342" s="278"/>
      <c r="W342" s="278"/>
      <c r="X342" s="278"/>
      <c r="Y342" s="278"/>
      <c r="Z342" s="278"/>
      <c r="AA342" s="290"/>
      <c r="AB342" s="269"/>
      <c r="AC342" s="290"/>
      <c r="AD342" s="278"/>
      <c r="AE342" s="278"/>
      <c r="AF342" s="278"/>
    </row>
    <row r="343" spans="2:32" ht="12.75" customHeight="1" x14ac:dyDescent="0.2">
      <c r="B343" s="251"/>
      <c r="D343" s="254"/>
      <c r="E343" s="254"/>
      <c r="F343" s="258"/>
      <c r="G343" s="259"/>
      <c r="H343" s="259"/>
      <c r="I343" s="259"/>
      <c r="J343" s="313"/>
      <c r="K343" s="301"/>
      <c r="L343" s="305"/>
      <c r="M343" s="306"/>
      <c r="N343" s="325"/>
      <c r="O343" s="311"/>
      <c r="P343" s="290"/>
      <c r="Q343" s="290"/>
      <c r="R343" s="290"/>
      <c r="S343" s="290"/>
      <c r="T343" s="245"/>
      <c r="U343" s="278"/>
      <c r="V343" s="278"/>
      <c r="W343" s="278"/>
      <c r="X343" s="278"/>
      <c r="Y343" s="278"/>
      <c r="Z343" s="278"/>
      <c r="AA343" s="290"/>
      <c r="AB343" s="269"/>
      <c r="AC343" s="290"/>
      <c r="AD343" s="278"/>
      <c r="AE343" s="278"/>
      <c r="AF343" s="278"/>
    </row>
    <row r="344" spans="2:32" ht="12.75" customHeight="1" x14ac:dyDescent="0.2">
      <c r="B344" s="251"/>
      <c r="D344" s="254"/>
      <c r="E344" s="254"/>
      <c r="F344" s="258"/>
      <c r="G344" s="259"/>
      <c r="H344" s="259"/>
      <c r="I344" s="259"/>
      <c r="J344" s="313"/>
      <c r="K344" s="301"/>
      <c r="L344" s="305"/>
      <c r="M344" s="306"/>
      <c r="N344" s="325"/>
      <c r="O344" s="311"/>
      <c r="P344" s="290"/>
      <c r="Q344" s="290"/>
      <c r="R344" s="290"/>
      <c r="S344" s="290"/>
      <c r="T344" s="245"/>
      <c r="U344" s="278"/>
      <c r="V344" s="278"/>
      <c r="W344" s="278"/>
      <c r="X344" s="278"/>
      <c r="Y344" s="278"/>
      <c r="Z344" s="278"/>
      <c r="AA344" s="290"/>
      <c r="AB344" s="269"/>
      <c r="AC344" s="290"/>
      <c r="AD344" s="278"/>
      <c r="AE344" s="278"/>
      <c r="AF344" s="278"/>
    </row>
    <row r="345" spans="2:32" ht="12.75" customHeight="1" x14ac:dyDescent="0.2">
      <c r="B345" s="251"/>
      <c r="D345" s="254"/>
      <c r="E345" s="254"/>
      <c r="F345" s="258"/>
      <c r="G345" s="259"/>
      <c r="H345" s="259"/>
      <c r="I345" s="259"/>
      <c r="J345" s="313"/>
      <c r="K345" s="301"/>
      <c r="L345" s="305"/>
      <c r="M345" s="306"/>
      <c r="N345" s="325"/>
      <c r="O345" s="311"/>
      <c r="P345" s="290"/>
      <c r="Q345" s="290"/>
      <c r="R345" s="290"/>
      <c r="S345" s="290"/>
      <c r="T345" s="245"/>
      <c r="U345" s="278"/>
      <c r="V345" s="278"/>
      <c r="W345" s="278"/>
      <c r="X345" s="278"/>
      <c r="Y345" s="278"/>
      <c r="Z345" s="278"/>
      <c r="AA345" s="290"/>
      <c r="AB345" s="269"/>
      <c r="AC345" s="290"/>
      <c r="AD345" s="278"/>
      <c r="AE345" s="278"/>
      <c r="AF345" s="278"/>
    </row>
    <row r="346" spans="2:32" ht="12.75" customHeight="1" x14ac:dyDescent="0.2">
      <c r="B346" s="251"/>
      <c r="D346" s="254"/>
      <c r="E346" s="254"/>
      <c r="F346" s="258"/>
      <c r="G346" s="259"/>
      <c r="H346" s="259"/>
      <c r="I346" s="259"/>
      <c r="J346" s="313"/>
      <c r="K346" s="301"/>
      <c r="L346" s="305"/>
      <c r="M346" s="306"/>
      <c r="N346" s="325"/>
      <c r="O346" s="311"/>
      <c r="P346" s="290"/>
      <c r="Q346" s="290"/>
      <c r="R346" s="290"/>
      <c r="S346" s="290"/>
      <c r="T346" s="245"/>
      <c r="U346" s="278"/>
      <c r="V346" s="278"/>
      <c r="W346" s="278"/>
      <c r="X346" s="278"/>
      <c r="Y346" s="278"/>
      <c r="Z346" s="278"/>
      <c r="AA346" s="290"/>
      <c r="AB346" s="269"/>
      <c r="AC346" s="290"/>
      <c r="AD346" s="278"/>
      <c r="AE346" s="278"/>
      <c r="AF346" s="278"/>
    </row>
    <row r="347" spans="2:32" ht="12.75" customHeight="1" x14ac:dyDescent="0.2">
      <c r="B347" s="251"/>
      <c r="D347" s="254"/>
      <c r="E347" s="254"/>
      <c r="F347" s="258"/>
      <c r="G347" s="259"/>
      <c r="H347" s="259"/>
      <c r="I347" s="259"/>
      <c r="J347" s="313"/>
      <c r="K347" s="301"/>
      <c r="L347" s="305"/>
      <c r="M347" s="306"/>
      <c r="N347" s="325"/>
      <c r="O347" s="311"/>
      <c r="P347" s="290"/>
      <c r="Q347" s="290"/>
      <c r="R347" s="290"/>
      <c r="S347" s="290"/>
      <c r="T347" s="245"/>
      <c r="U347" s="278"/>
      <c r="V347" s="278"/>
      <c r="W347" s="278"/>
      <c r="X347" s="278"/>
      <c r="Y347" s="278"/>
      <c r="Z347" s="278"/>
      <c r="AA347" s="290"/>
      <c r="AB347" s="269"/>
      <c r="AC347" s="290"/>
      <c r="AD347" s="278"/>
      <c r="AE347" s="278"/>
      <c r="AF347" s="278"/>
    </row>
    <row r="348" spans="2:32" ht="12.75" customHeight="1" x14ac:dyDescent="0.2">
      <c r="B348" s="251"/>
      <c r="D348" s="254"/>
      <c r="E348" s="254"/>
      <c r="F348" s="258"/>
      <c r="G348" s="259"/>
      <c r="H348" s="259"/>
      <c r="I348" s="259"/>
      <c r="J348" s="313"/>
      <c r="K348" s="301"/>
      <c r="L348" s="305"/>
      <c r="M348" s="306"/>
      <c r="N348" s="325"/>
      <c r="O348" s="311"/>
      <c r="P348" s="290"/>
      <c r="Q348" s="290"/>
      <c r="R348" s="290"/>
      <c r="S348" s="290"/>
      <c r="T348" s="245"/>
      <c r="U348" s="278"/>
      <c r="V348" s="278"/>
      <c r="W348" s="278"/>
      <c r="X348" s="278"/>
      <c r="Y348" s="278"/>
      <c r="Z348" s="278"/>
      <c r="AA348" s="290"/>
      <c r="AB348" s="269"/>
      <c r="AC348" s="290"/>
      <c r="AD348" s="278"/>
      <c r="AE348" s="278"/>
      <c r="AF348" s="278"/>
    </row>
    <row r="349" spans="2:32" ht="12.75" customHeight="1" x14ac:dyDescent="0.2">
      <c r="B349" s="251"/>
      <c r="D349" s="254"/>
      <c r="E349" s="254"/>
      <c r="F349" s="258"/>
      <c r="G349" s="259"/>
      <c r="H349" s="259"/>
      <c r="I349" s="259"/>
      <c r="J349" s="313"/>
      <c r="K349" s="301"/>
      <c r="L349" s="305"/>
      <c r="M349" s="306"/>
      <c r="N349" s="325"/>
      <c r="O349" s="311"/>
      <c r="P349" s="290"/>
      <c r="Q349" s="290"/>
      <c r="R349" s="290"/>
      <c r="S349" s="290"/>
      <c r="T349" s="245"/>
      <c r="U349" s="278"/>
      <c r="V349" s="278"/>
      <c r="W349" s="278"/>
      <c r="X349" s="278"/>
      <c r="Y349" s="278"/>
      <c r="Z349" s="278"/>
      <c r="AA349" s="290"/>
      <c r="AB349" s="269"/>
      <c r="AC349" s="290"/>
      <c r="AD349" s="278"/>
      <c r="AE349" s="278"/>
      <c r="AF349" s="278"/>
    </row>
    <row r="350" spans="2:32" ht="12.75" customHeight="1" x14ac:dyDescent="0.2">
      <c r="B350" s="251"/>
      <c r="D350" s="254"/>
      <c r="E350" s="254"/>
      <c r="F350" s="258"/>
      <c r="G350" s="259"/>
      <c r="H350" s="259"/>
      <c r="I350" s="259"/>
      <c r="J350" s="313"/>
      <c r="K350" s="301"/>
      <c r="L350" s="305"/>
      <c r="M350" s="306"/>
      <c r="N350" s="325"/>
      <c r="O350" s="311"/>
      <c r="P350" s="290"/>
      <c r="Q350" s="290"/>
      <c r="R350" s="290"/>
      <c r="S350" s="290"/>
      <c r="T350" s="246"/>
      <c r="U350" s="278"/>
      <c r="V350" s="278"/>
      <c r="W350" s="278"/>
      <c r="X350" s="278"/>
      <c r="Y350" s="278"/>
      <c r="Z350" s="278"/>
      <c r="AA350" s="290"/>
      <c r="AB350" s="270"/>
      <c r="AC350" s="290"/>
      <c r="AD350" s="278"/>
      <c r="AE350" s="278"/>
      <c r="AF350" s="278"/>
    </row>
    <row r="351" spans="2:32" ht="12.75" customHeight="1" thickBot="1" x14ac:dyDescent="0.25">
      <c r="B351" s="252"/>
      <c r="D351" s="255"/>
      <c r="E351" s="255"/>
      <c r="F351" s="260"/>
      <c r="G351" s="261"/>
      <c r="H351" s="261"/>
      <c r="I351" s="261"/>
      <c r="J351" s="314"/>
      <c r="K351" s="302"/>
      <c r="L351" s="307"/>
      <c r="M351" s="308"/>
      <c r="N351" s="326"/>
      <c r="O351" s="138" t="str">
        <f t="shared" ref="O351:T351" si="52">IF(OR(TRIM(O336)=0,TRIM(O336)=""),"",IFERROR(TRIM(INDEX(QryItemNamed,MATCH(TRIM(O336),ITEM,0),3)),""))</f>
        <v>FT</v>
      </c>
      <c r="P351" s="102" t="str">
        <f t="shared" si="52"/>
        <v>SF</v>
      </c>
      <c r="Q351" s="102" t="str">
        <f t="shared" si="52"/>
        <v>EACH</v>
      </c>
      <c r="R351" s="102" t="str">
        <f t="shared" si="52"/>
        <v>EACH</v>
      </c>
      <c r="S351" s="102" t="str">
        <f t="shared" si="52"/>
        <v>EACH</v>
      </c>
      <c r="T351" s="102" t="str">
        <f t="shared" si="52"/>
        <v>EACH</v>
      </c>
      <c r="U351" s="102" t="s">
        <v>51</v>
      </c>
      <c r="V351" s="102" t="s">
        <v>51</v>
      </c>
      <c r="W351" s="102" t="s">
        <v>51</v>
      </c>
      <c r="X351" s="102" t="s">
        <v>51</v>
      </c>
      <c r="Y351" s="102"/>
      <c r="Z351" s="102" t="str">
        <f t="shared" ref="Z351:AB351" si="53">IF(OR(TRIM(Z336)=0,TRIM(Z336)=""),"",IFERROR(TRIM(INDEX(QryItemNamed,MATCH(TRIM(Z336),ITEM,0),3)),""))</f>
        <v/>
      </c>
      <c r="AA351" s="102" t="str">
        <f t="shared" si="53"/>
        <v/>
      </c>
      <c r="AB351" s="102" t="str">
        <f t="shared" si="53"/>
        <v/>
      </c>
      <c r="AC351" s="102" t="str">
        <f>IF(OR(TRIM(AC336)=0,TRIM(AC336)=""),"",IFERROR(TRIM(INDEX(QryItemNamed,MATCH(TRIM(AC336),ITEM,0),3)),""))</f>
        <v/>
      </c>
      <c r="AD351" s="102" t="str">
        <f>IF(OR(TRIM(AD336)=0,TRIM(AD336)=""),"",IFERROR(TRIM(INDEX(QryItemNamed,MATCH(TRIM(AD336),ITEM,0),3)),""))</f>
        <v/>
      </c>
      <c r="AE351" s="102" t="str">
        <f>IF(OR(TRIM(AE336)=0,TRIM(AE336)=""),"",IFERROR(TRIM(INDEX(QryItemNamed,MATCH(TRIM(AE336),ITEM,0),3)),""))</f>
        <v/>
      </c>
      <c r="AF351" s="102" t="str">
        <f>IF(OR(TRIM(AF336)=0,TRIM(AF336)=""),"",IFERROR(TRIM(INDEX(QryItemNamed,MATCH(TRIM(AF336),ITEM,0),3)),""))</f>
        <v/>
      </c>
    </row>
    <row r="352" spans="2:32" ht="12.75" customHeight="1" x14ac:dyDescent="0.2">
      <c r="B352" s="21">
        <v>1</v>
      </c>
      <c r="C352" s="5">
        <f>914+18</f>
        <v>932</v>
      </c>
      <c r="D352" s="114" t="s">
        <v>538</v>
      </c>
      <c r="E352" s="114" t="s">
        <v>754</v>
      </c>
      <c r="F352" s="285"/>
      <c r="G352" s="286"/>
      <c r="H352" s="114"/>
      <c r="I352" s="287"/>
      <c r="J352" s="289"/>
      <c r="K352" s="232" t="s">
        <v>24</v>
      </c>
      <c r="L352" s="287"/>
      <c r="M352" s="288"/>
      <c r="N352" s="211">
        <v>1</v>
      </c>
      <c r="O352" s="139"/>
      <c r="P352" s="114"/>
      <c r="Q352" s="114">
        <v>4</v>
      </c>
      <c r="R352" s="114">
        <v>1</v>
      </c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</row>
    <row r="353" spans="2:32" ht="12.75" customHeight="1" x14ac:dyDescent="0.2">
      <c r="B353" s="21">
        <v>1</v>
      </c>
      <c r="D353" s="114" t="s">
        <v>539</v>
      </c>
      <c r="E353" s="114" t="s">
        <v>754</v>
      </c>
      <c r="F353" s="285"/>
      <c r="G353" s="286"/>
      <c r="H353" s="139"/>
      <c r="I353" s="287"/>
      <c r="J353" s="289"/>
      <c r="K353" s="232" t="s">
        <v>24</v>
      </c>
      <c r="L353" s="287"/>
      <c r="M353" s="288"/>
      <c r="N353" s="212">
        <v>1</v>
      </c>
      <c r="O353" s="139"/>
      <c r="P353" s="114"/>
      <c r="Q353" s="114">
        <v>2</v>
      </c>
      <c r="R353" s="114">
        <v>2</v>
      </c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</row>
    <row r="354" spans="2:32" ht="12.75" customHeight="1" x14ac:dyDescent="0.2">
      <c r="B354" s="21">
        <v>1</v>
      </c>
      <c r="D354" s="114" t="s">
        <v>540</v>
      </c>
      <c r="E354" s="114" t="s">
        <v>754</v>
      </c>
      <c r="F354" s="285"/>
      <c r="G354" s="286"/>
      <c r="H354" s="139"/>
      <c r="I354" s="287"/>
      <c r="J354" s="289"/>
      <c r="K354" s="232" t="s">
        <v>25</v>
      </c>
      <c r="L354" s="287"/>
      <c r="M354" s="288"/>
      <c r="N354" s="212">
        <v>1</v>
      </c>
      <c r="O354" s="149"/>
      <c r="P354" s="114"/>
      <c r="Q354" s="114">
        <v>2</v>
      </c>
      <c r="R354" s="114">
        <v>2</v>
      </c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</row>
    <row r="355" spans="2:32" ht="12.75" customHeight="1" x14ac:dyDescent="0.2">
      <c r="B355" s="21">
        <v>1</v>
      </c>
      <c r="D355" s="114" t="s">
        <v>531</v>
      </c>
      <c r="E355" s="114" t="s">
        <v>754</v>
      </c>
      <c r="F355" s="285">
        <v>173905</v>
      </c>
      <c r="G355" s="286"/>
      <c r="H355" s="139"/>
      <c r="I355" s="287"/>
      <c r="J355" s="289"/>
      <c r="K355" s="232" t="s">
        <v>24</v>
      </c>
      <c r="L355" s="287" t="s">
        <v>140</v>
      </c>
      <c r="M355" s="288"/>
      <c r="N355" s="212">
        <v>1</v>
      </c>
      <c r="O355" s="149">
        <f>3.5+7+3+1</f>
        <v>14.5</v>
      </c>
      <c r="P355" s="114">
        <f>2.5*1</f>
        <v>2.5</v>
      </c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</row>
    <row r="356" spans="2:32" ht="12.75" customHeight="1" x14ac:dyDescent="0.2">
      <c r="B356" s="21">
        <v>1</v>
      </c>
      <c r="D356" s="114"/>
      <c r="E356" s="114" t="s">
        <v>754</v>
      </c>
      <c r="F356" s="285">
        <v>173905</v>
      </c>
      <c r="G356" s="286"/>
      <c r="H356" s="114"/>
      <c r="I356" s="287"/>
      <c r="J356" s="289"/>
      <c r="K356" s="232" t="s">
        <v>24</v>
      </c>
      <c r="L356" s="287" t="s">
        <v>141</v>
      </c>
      <c r="M356" s="288"/>
      <c r="N356" s="212">
        <v>1</v>
      </c>
      <c r="O356" s="149"/>
      <c r="P356" s="114">
        <f>2*3</f>
        <v>6</v>
      </c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</row>
    <row r="357" spans="2:32" ht="12.75" customHeight="1" x14ac:dyDescent="0.2">
      <c r="B357" s="21">
        <v>1</v>
      </c>
      <c r="D357" s="114" t="s">
        <v>532</v>
      </c>
      <c r="E357" s="114" t="s">
        <v>754</v>
      </c>
      <c r="F357" s="285">
        <v>174050</v>
      </c>
      <c r="G357" s="286"/>
      <c r="H357" s="114"/>
      <c r="I357" s="287"/>
      <c r="J357" s="289"/>
      <c r="K357" s="232" t="s">
        <v>24</v>
      </c>
      <c r="L357" s="287" t="s">
        <v>129</v>
      </c>
      <c r="M357" s="288"/>
      <c r="N357" s="212">
        <v>1</v>
      </c>
      <c r="O357" s="149">
        <f>3.5+7+1+2+2+2.5</f>
        <v>18</v>
      </c>
      <c r="P357" s="114">
        <f>2*1</f>
        <v>2</v>
      </c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</row>
    <row r="358" spans="2:32" ht="12.75" customHeight="1" x14ac:dyDescent="0.2">
      <c r="B358" s="21">
        <v>1</v>
      </c>
      <c r="D358" s="114"/>
      <c r="E358" s="114" t="s">
        <v>754</v>
      </c>
      <c r="F358" s="285">
        <v>174050</v>
      </c>
      <c r="G358" s="286"/>
      <c r="H358" s="114"/>
      <c r="I358" s="287"/>
      <c r="J358" s="289"/>
      <c r="K358" s="232" t="s">
        <v>24</v>
      </c>
      <c r="L358" s="287" t="s">
        <v>122</v>
      </c>
      <c r="M358" s="288"/>
      <c r="N358" s="212">
        <v>1</v>
      </c>
      <c r="O358" s="149"/>
      <c r="P358" s="114">
        <f>2*2</f>
        <v>4</v>
      </c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</row>
    <row r="359" spans="2:32" ht="12.75" customHeight="1" x14ac:dyDescent="0.2">
      <c r="B359" s="21">
        <v>1</v>
      </c>
      <c r="D359" s="114"/>
      <c r="E359" s="114" t="s">
        <v>754</v>
      </c>
      <c r="F359" s="285">
        <v>174050</v>
      </c>
      <c r="G359" s="286"/>
      <c r="H359" s="114"/>
      <c r="I359" s="287"/>
      <c r="J359" s="289"/>
      <c r="K359" s="232" t="s">
        <v>24</v>
      </c>
      <c r="L359" s="287" t="s">
        <v>123</v>
      </c>
      <c r="M359" s="288"/>
      <c r="N359" s="212">
        <v>1</v>
      </c>
      <c r="O359" s="149"/>
      <c r="P359" s="114">
        <f>2*2</f>
        <v>4</v>
      </c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</row>
    <row r="360" spans="2:32" ht="12.75" customHeight="1" x14ac:dyDescent="0.2">
      <c r="B360" s="21">
        <v>1</v>
      </c>
      <c r="D360" s="114"/>
      <c r="E360" s="114" t="s">
        <v>754</v>
      </c>
      <c r="F360" s="285">
        <v>174050</v>
      </c>
      <c r="G360" s="286"/>
      <c r="H360" s="114"/>
      <c r="I360" s="287"/>
      <c r="J360" s="289"/>
      <c r="K360" s="232" t="s">
        <v>24</v>
      </c>
      <c r="L360" s="287" t="s">
        <v>124</v>
      </c>
      <c r="M360" s="288"/>
      <c r="N360" s="212">
        <v>1</v>
      </c>
      <c r="O360" s="149"/>
      <c r="P360" s="114">
        <f>2*2.5</f>
        <v>5</v>
      </c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</row>
    <row r="361" spans="2:32" ht="12.75" customHeight="1" x14ac:dyDescent="0.2">
      <c r="B361" s="21">
        <v>1</v>
      </c>
      <c r="D361" s="114" t="s">
        <v>533</v>
      </c>
      <c r="E361" s="114" t="s">
        <v>754</v>
      </c>
      <c r="F361" s="285">
        <v>173908</v>
      </c>
      <c r="G361" s="286"/>
      <c r="H361" s="114"/>
      <c r="I361" s="287"/>
      <c r="J361" s="289"/>
      <c r="K361" s="232" t="s">
        <v>25</v>
      </c>
      <c r="L361" s="287" t="s">
        <v>142</v>
      </c>
      <c r="M361" s="288"/>
      <c r="N361" s="212">
        <v>1</v>
      </c>
      <c r="O361" s="149">
        <f>3.5+7+3+1</f>
        <v>14.5</v>
      </c>
      <c r="P361" s="114">
        <f>2.5*1</f>
        <v>2.5</v>
      </c>
      <c r="Q361" s="114"/>
      <c r="R361" s="114"/>
      <c r="S361" s="110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</row>
    <row r="362" spans="2:32" ht="12.75" customHeight="1" x14ac:dyDescent="0.2">
      <c r="B362" s="21">
        <v>1</v>
      </c>
      <c r="D362" s="114"/>
      <c r="E362" s="114" t="s">
        <v>754</v>
      </c>
      <c r="F362" s="285">
        <v>173908</v>
      </c>
      <c r="G362" s="286"/>
      <c r="H362" s="114"/>
      <c r="I362" s="287"/>
      <c r="J362" s="289"/>
      <c r="K362" s="232" t="s">
        <v>25</v>
      </c>
      <c r="L362" s="287" t="s">
        <v>141</v>
      </c>
      <c r="M362" s="288"/>
      <c r="N362" s="212">
        <v>1</v>
      </c>
      <c r="O362" s="149"/>
      <c r="P362" s="114">
        <f>2*3</f>
        <v>6</v>
      </c>
      <c r="Q362" s="114"/>
      <c r="R362" s="114"/>
      <c r="S362" s="110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</row>
    <row r="363" spans="2:32" ht="12.75" customHeight="1" x14ac:dyDescent="0.2">
      <c r="B363" s="21">
        <v>1</v>
      </c>
      <c r="D363" s="114" t="s">
        <v>534</v>
      </c>
      <c r="E363" s="114" t="s">
        <v>754</v>
      </c>
      <c r="F363" s="285">
        <v>173903</v>
      </c>
      <c r="G363" s="286"/>
      <c r="H363" s="114"/>
      <c r="I363" s="287"/>
      <c r="J363" s="289"/>
      <c r="K363" s="232" t="s">
        <v>24</v>
      </c>
      <c r="L363" s="287"/>
      <c r="M363" s="288"/>
      <c r="N363" s="212">
        <v>1</v>
      </c>
      <c r="O363" s="149"/>
      <c r="P363" s="114"/>
      <c r="Q363" s="114"/>
      <c r="R363" s="114"/>
      <c r="S363" s="110"/>
      <c r="T363" s="114">
        <v>1</v>
      </c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</row>
    <row r="364" spans="2:32" ht="12.75" customHeight="1" x14ac:dyDescent="0.2">
      <c r="B364" s="21">
        <v>1</v>
      </c>
      <c r="D364" s="114" t="s">
        <v>535</v>
      </c>
      <c r="E364" s="114" t="s">
        <v>754</v>
      </c>
      <c r="F364" s="285">
        <v>174014</v>
      </c>
      <c r="G364" s="286"/>
      <c r="H364" s="114"/>
      <c r="I364" s="287"/>
      <c r="J364" s="289"/>
      <c r="K364" s="232" t="s">
        <v>25</v>
      </c>
      <c r="L364" s="287" t="s">
        <v>117</v>
      </c>
      <c r="M364" s="288"/>
      <c r="N364" s="212">
        <v>1</v>
      </c>
      <c r="O364" s="149">
        <f>3.5+7+4.5</f>
        <v>15</v>
      </c>
      <c r="P364" s="114">
        <f>3*3</f>
        <v>9</v>
      </c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</row>
    <row r="365" spans="2:32" ht="12.75" customHeight="1" x14ac:dyDescent="0.2">
      <c r="B365" s="21">
        <v>1</v>
      </c>
      <c r="D365" s="114" t="s">
        <v>536</v>
      </c>
      <c r="E365" s="114" t="s">
        <v>754</v>
      </c>
      <c r="F365" s="285">
        <v>174141</v>
      </c>
      <c r="G365" s="286"/>
      <c r="H365" s="114"/>
      <c r="I365" s="287"/>
      <c r="J365" s="289"/>
      <c r="K365" s="232" t="s">
        <v>25</v>
      </c>
      <c r="L365" s="287" t="s">
        <v>143</v>
      </c>
      <c r="M365" s="288"/>
      <c r="N365" s="212">
        <v>1</v>
      </c>
      <c r="O365" s="149">
        <f>3.5+7+2.5</f>
        <v>13</v>
      </c>
      <c r="P365" s="114">
        <f>3*2.5</f>
        <v>7.5</v>
      </c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</row>
    <row r="366" spans="2:32" ht="12.75" customHeight="1" x14ac:dyDescent="0.2">
      <c r="B366" s="21">
        <v>1</v>
      </c>
      <c r="D366" s="114" t="s">
        <v>537</v>
      </c>
      <c r="E366" s="114" t="s">
        <v>754</v>
      </c>
      <c r="F366" s="285">
        <v>174250</v>
      </c>
      <c r="G366" s="286"/>
      <c r="H366" s="114"/>
      <c r="I366" s="287"/>
      <c r="J366" s="289"/>
      <c r="K366" s="232" t="s">
        <v>25</v>
      </c>
      <c r="L366" s="287" t="s">
        <v>114</v>
      </c>
      <c r="M366" s="288"/>
      <c r="N366" s="212">
        <v>1</v>
      </c>
      <c r="O366" s="149">
        <f>3.5+7+4.5+1+1.5</f>
        <v>17.5</v>
      </c>
      <c r="P366" s="114">
        <f>3*3</f>
        <v>9</v>
      </c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</row>
    <row r="367" spans="2:32" ht="12.75" customHeight="1" x14ac:dyDescent="0.2">
      <c r="B367" s="21">
        <v>1</v>
      </c>
      <c r="D367" s="162"/>
      <c r="E367" s="114" t="s">
        <v>754</v>
      </c>
      <c r="F367" s="285">
        <v>174250</v>
      </c>
      <c r="G367" s="286"/>
      <c r="H367" s="155"/>
      <c r="I367" s="287"/>
      <c r="J367" s="289"/>
      <c r="K367" s="235" t="s">
        <v>25</v>
      </c>
      <c r="L367" s="287" t="s">
        <v>115</v>
      </c>
      <c r="M367" s="288"/>
      <c r="N367" s="212">
        <v>1</v>
      </c>
      <c r="O367" s="154"/>
      <c r="P367" s="155">
        <f>3*1</f>
        <v>3</v>
      </c>
      <c r="Q367" s="155"/>
      <c r="R367" s="155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</row>
    <row r="368" spans="2:32" ht="12.75" customHeight="1" x14ac:dyDescent="0.2">
      <c r="B368" s="21">
        <v>1</v>
      </c>
      <c r="D368" s="114"/>
      <c r="E368" s="114" t="s">
        <v>754</v>
      </c>
      <c r="F368" s="285">
        <v>174250</v>
      </c>
      <c r="G368" s="286"/>
      <c r="H368" s="114"/>
      <c r="I368" s="287"/>
      <c r="J368" s="289"/>
      <c r="K368" s="232" t="s">
        <v>25</v>
      </c>
      <c r="L368" s="287" t="s">
        <v>116</v>
      </c>
      <c r="M368" s="288"/>
      <c r="N368" s="212">
        <v>1</v>
      </c>
      <c r="O368" s="149"/>
      <c r="P368" s="114">
        <f>1.5*1.5</f>
        <v>2.25</v>
      </c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</row>
    <row r="369" spans="2:32" ht="12.75" customHeight="1" x14ac:dyDescent="0.2">
      <c r="B369" s="21"/>
      <c r="D369" s="114"/>
      <c r="E369" s="114"/>
      <c r="F369" s="147"/>
      <c r="G369" s="148"/>
      <c r="H369" s="114"/>
      <c r="I369" s="287"/>
      <c r="J369" s="289"/>
      <c r="K369" s="232"/>
      <c r="L369" s="156"/>
      <c r="M369" s="157"/>
      <c r="N369" s="212"/>
      <c r="O369" s="149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</row>
    <row r="370" spans="2:32" ht="12.75" customHeight="1" x14ac:dyDescent="0.2">
      <c r="B370" s="21">
        <v>1</v>
      </c>
      <c r="C370" s="5">
        <f>915+18</f>
        <v>933</v>
      </c>
      <c r="D370" s="114" t="s">
        <v>541</v>
      </c>
      <c r="E370" s="114" t="s">
        <v>755</v>
      </c>
      <c r="F370" s="147"/>
      <c r="G370" s="148"/>
      <c r="H370" s="114"/>
      <c r="I370" s="287"/>
      <c r="J370" s="289"/>
      <c r="K370" s="232" t="s">
        <v>24</v>
      </c>
      <c r="L370" s="156"/>
      <c r="M370" s="157"/>
      <c r="N370" s="212">
        <v>1</v>
      </c>
      <c r="O370" s="149"/>
      <c r="P370" s="114"/>
      <c r="Q370" s="114">
        <v>1</v>
      </c>
      <c r="R370" s="114">
        <v>1</v>
      </c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</row>
    <row r="371" spans="2:32" ht="12.75" customHeight="1" x14ac:dyDescent="0.2">
      <c r="B371" s="21">
        <v>1</v>
      </c>
      <c r="D371" s="114" t="s">
        <v>542</v>
      </c>
      <c r="E371" s="114" t="s">
        <v>755</v>
      </c>
      <c r="F371" s="147"/>
      <c r="G371" s="148"/>
      <c r="H371" s="155"/>
      <c r="I371" s="287"/>
      <c r="J371" s="289"/>
      <c r="K371" s="233" t="s">
        <v>25</v>
      </c>
      <c r="L371" s="156"/>
      <c r="M371" s="157"/>
      <c r="N371" s="212">
        <v>1</v>
      </c>
      <c r="O371" s="149"/>
      <c r="P371" s="114"/>
      <c r="Q371" s="114">
        <v>2</v>
      </c>
      <c r="R371" s="114">
        <v>2</v>
      </c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</row>
    <row r="372" spans="2:32" ht="12.75" customHeight="1" x14ac:dyDescent="0.2">
      <c r="B372" s="21">
        <v>1</v>
      </c>
      <c r="D372" s="114" t="s">
        <v>543</v>
      </c>
      <c r="E372" s="114" t="s">
        <v>755</v>
      </c>
      <c r="F372" s="285">
        <v>174428</v>
      </c>
      <c r="G372" s="286"/>
      <c r="H372" s="114"/>
      <c r="I372" s="287"/>
      <c r="J372" s="289"/>
      <c r="K372" s="232" t="s">
        <v>24</v>
      </c>
      <c r="L372" s="287" t="s">
        <v>132</v>
      </c>
      <c r="M372" s="288"/>
      <c r="N372" s="212">
        <v>1</v>
      </c>
      <c r="O372" s="149">
        <f>3.5+7+1</f>
        <v>11.5</v>
      </c>
      <c r="P372" s="114">
        <f>1*1</f>
        <v>1</v>
      </c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</row>
    <row r="373" spans="2:32" ht="12.75" customHeight="1" x14ac:dyDescent="0.2">
      <c r="B373" s="21"/>
      <c r="D373" s="114"/>
      <c r="E373" s="114"/>
      <c r="F373" s="147"/>
      <c r="G373" s="148"/>
      <c r="H373" s="114"/>
      <c r="I373" s="287"/>
      <c r="J373" s="289"/>
      <c r="K373" s="232"/>
      <c r="L373" s="287"/>
      <c r="M373" s="288"/>
      <c r="N373" s="212"/>
      <c r="O373" s="149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</row>
    <row r="374" spans="2:32" ht="12.75" customHeight="1" x14ac:dyDescent="0.2">
      <c r="B374" s="21">
        <v>1</v>
      </c>
      <c r="C374" s="5">
        <f>916+18</f>
        <v>934</v>
      </c>
      <c r="D374" s="114" t="s">
        <v>544</v>
      </c>
      <c r="E374" s="114" t="s">
        <v>756</v>
      </c>
      <c r="F374" s="147"/>
      <c r="G374" s="148"/>
      <c r="H374" s="114"/>
      <c r="I374" s="287"/>
      <c r="J374" s="289"/>
      <c r="K374" s="232" t="s">
        <v>24</v>
      </c>
      <c r="L374" s="287"/>
      <c r="M374" s="288"/>
      <c r="N374" s="212">
        <v>1</v>
      </c>
      <c r="O374" s="149"/>
      <c r="P374" s="114"/>
      <c r="Q374" s="114">
        <v>1</v>
      </c>
      <c r="R374" s="114">
        <v>1</v>
      </c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</row>
    <row r="375" spans="2:32" ht="12.75" customHeight="1" x14ac:dyDescent="0.2">
      <c r="B375" s="21">
        <v>1</v>
      </c>
      <c r="D375" s="114" t="s">
        <v>545</v>
      </c>
      <c r="E375" s="114" t="s">
        <v>756</v>
      </c>
      <c r="F375" s="147"/>
      <c r="G375" s="148"/>
      <c r="H375" s="114"/>
      <c r="I375" s="287"/>
      <c r="J375" s="289"/>
      <c r="K375" s="232" t="s">
        <v>25</v>
      </c>
      <c r="L375" s="287"/>
      <c r="M375" s="288"/>
      <c r="N375" s="212">
        <v>1</v>
      </c>
      <c r="O375" s="149"/>
      <c r="P375" s="114"/>
      <c r="Q375" s="114">
        <v>1</v>
      </c>
      <c r="R375" s="114">
        <v>1</v>
      </c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</row>
    <row r="376" spans="2:32" ht="12.75" customHeight="1" x14ac:dyDescent="0.2">
      <c r="B376" s="21">
        <v>1</v>
      </c>
      <c r="D376" s="114" t="s">
        <v>546</v>
      </c>
      <c r="E376" s="114" t="s">
        <v>756</v>
      </c>
      <c r="F376" s="147"/>
      <c r="G376" s="148"/>
      <c r="H376" s="114"/>
      <c r="I376" s="287"/>
      <c r="J376" s="289"/>
      <c r="K376" s="232" t="s">
        <v>25</v>
      </c>
      <c r="L376" s="287"/>
      <c r="M376" s="288"/>
      <c r="N376" s="212">
        <v>1</v>
      </c>
      <c r="O376" s="149"/>
      <c r="P376" s="114"/>
      <c r="Q376" s="114">
        <v>2</v>
      </c>
      <c r="R376" s="114">
        <v>1</v>
      </c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</row>
    <row r="377" spans="2:32" ht="12.75" customHeight="1" x14ac:dyDescent="0.2">
      <c r="B377" s="21">
        <v>1</v>
      </c>
      <c r="D377" s="114" t="s">
        <v>547</v>
      </c>
      <c r="E377" s="114" t="s">
        <v>756</v>
      </c>
      <c r="F377" s="147"/>
      <c r="G377" s="148"/>
      <c r="H377" s="114"/>
      <c r="I377" s="287"/>
      <c r="J377" s="289"/>
      <c r="K377" s="232" t="s">
        <v>24</v>
      </c>
      <c r="L377" s="287"/>
      <c r="M377" s="288"/>
      <c r="N377" s="212">
        <v>1</v>
      </c>
      <c r="O377" s="149"/>
      <c r="P377" s="114"/>
      <c r="Q377" s="114">
        <v>1</v>
      </c>
      <c r="R377" s="114">
        <v>1</v>
      </c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</row>
    <row r="378" spans="2:32" ht="12.75" customHeight="1" x14ac:dyDescent="0.2">
      <c r="B378" s="21">
        <v>1</v>
      </c>
      <c r="D378" s="114" t="s">
        <v>548</v>
      </c>
      <c r="E378" s="114" t="s">
        <v>756</v>
      </c>
      <c r="F378" s="147"/>
      <c r="G378" s="148"/>
      <c r="H378" s="114"/>
      <c r="I378" s="287"/>
      <c r="J378" s="289"/>
      <c r="K378" s="232" t="s">
        <v>24</v>
      </c>
      <c r="L378" s="287"/>
      <c r="M378" s="288"/>
      <c r="N378" s="212">
        <v>1</v>
      </c>
      <c r="O378" s="149"/>
      <c r="P378" s="114"/>
      <c r="Q378" s="114">
        <v>1</v>
      </c>
      <c r="R378" s="114">
        <v>1</v>
      </c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</row>
    <row r="379" spans="2:32" ht="12.75" customHeight="1" x14ac:dyDescent="0.2">
      <c r="B379" s="21">
        <v>1</v>
      </c>
      <c r="D379" s="114" t="s">
        <v>549</v>
      </c>
      <c r="E379" s="114" t="s">
        <v>756</v>
      </c>
      <c r="F379" s="147"/>
      <c r="G379" s="148"/>
      <c r="H379" s="114"/>
      <c r="I379" s="287"/>
      <c r="J379" s="289"/>
      <c r="K379" s="232" t="s">
        <v>25</v>
      </c>
      <c r="L379" s="287"/>
      <c r="M379" s="288"/>
      <c r="N379" s="212">
        <v>1</v>
      </c>
      <c r="O379" s="149"/>
      <c r="P379" s="114"/>
      <c r="Q379" s="114">
        <v>1</v>
      </c>
      <c r="R379" s="114">
        <v>2</v>
      </c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</row>
    <row r="380" spans="2:32" ht="12.75" customHeight="1" x14ac:dyDescent="0.2">
      <c r="B380" s="21">
        <v>1</v>
      </c>
      <c r="D380" s="114" t="s">
        <v>550</v>
      </c>
      <c r="E380" s="114" t="s">
        <v>756</v>
      </c>
      <c r="F380" s="147"/>
      <c r="G380" s="148"/>
      <c r="H380" s="114"/>
      <c r="I380" s="287"/>
      <c r="J380" s="289"/>
      <c r="K380" s="232" t="s">
        <v>25</v>
      </c>
      <c r="L380" s="287"/>
      <c r="M380" s="288"/>
      <c r="N380" s="230">
        <v>1</v>
      </c>
      <c r="O380" s="149"/>
      <c r="P380" s="114"/>
      <c r="Q380" s="114">
        <v>1</v>
      </c>
      <c r="R380" s="114">
        <v>1</v>
      </c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</row>
    <row r="381" spans="2:32" ht="12.75" customHeight="1" x14ac:dyDescent="0.2">
      <c r="B381" s="21">
        <v>1</v>
      </c>
      <c r="D381" s="114" t="s">
        <v>551</v>
      </c>
      <c r="E381" s="114" t="s">
        <v>756</v>
      </c>
      <c r="F381" s="147"/>
      <c r="G381" s="148"/>
      <c r="H381" s="114"/>
      <c r="I381" s="287"/>
      <c r="J381" s="289"/>
      <c r="K381" s="232" t="s">
        <v>25</v>
      </c>
      <c r="L381" s="287"/>
      <c r="M381" s="288"/>
      <c r="N381" s="212">
        <v>1</v>
      </c>
      <c r="O381" s="149"/>
      <c r="P381" s="114"/>
      <c r="Q381" s="114">
        <v>2</v>
      </c>
      <c r="R381" s="114">
        <v>2</v>
      </c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</row>
    <row r="382" spans="2:32" ht="12.75" customHeight="1" x14ac:dyDescent="0.2">
      <c r="B382" s="21">
        <v>1</v>
      </c>
      <c r="D382" s="114" t="s">
        <v>552</v>
      </c>
      <c r="E382" s="114" t="s">
        <v>756</v>
      </c>
      <c r="F382" s="147"/>
      <c r="G382" s="148"/>
      <c r="H382" s="114"/>
      <c r="I382" s="287"/>
      <c r="J382" s="289"/>
      <c r="K382" s="232" t="s">
        <v>24</v>
      </c>
      <c r="L382" s="287"/>
      <c r="M382" s="288"/>
      <c r="N382" s="212">
        <v>1</v>
      </c>
      <c r="O382" s="149"/>
      <c r="P382" s="114"/>
      <c r="Q382" s="114">
        <v>2</v>
      </c>
      <c r="R382" s="114">
        <v>2</v>
      </c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</row>
    <row r="383" spans="2:32" ht="12.75" customHeight="1" x14ac:dyDescent="0.2">
      <c r="B383" s="21">
        <v>1</v>
      </c>
      <c r="D383" s="114" t="s">
        <v>553</v>
      </c>
      <c r="E383" s="114" t="s">
        <v>756</v>
      </c>
      <c r="F383" s="147"/>
      <c r="G383" s="148"/>
      <c r="H383" s="114"/>
      <c r="I383" s="287"/>
      <c r="J383" s="289"/>
      <c r="K383" s="232" t="s">
        <v>24</v>
      </c>
      <c r="L383" s="287"/>
      <c r="M383" s="288"/>
      <c r="N383" s="212">
        <v>1</v>
      </c>
      <c r="O383" s="149"/>
      <c r="P383" s="114"/>
      <c r="Q383" s="114">
        <v>3</v>
      </c>
      <c r="R383" s="114">
        <v>1</v>
      </c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</row>
    <row r="384" spans="2:32" ht="12.75" customHeight="1" x14ac:dyDescent="0.2">
      <c r="B384" s="21">
        <v>1</v>
      </c>
      <c r="D384" s="114" t="s">
        <v>543</v>
      </c>
      <c r="E384" s="114" t="s">
        <v>756</v>
      </c>
      <c r="F384" s="285">
        <v>4615</v>
      </c>
      <c r="G384" s="286"/>
      <c r="H384" s="114"/>
      <c r="I384" s="287"/>
      <c r="J384" s="289"/>
      <c r="K384" s="232" t="s">
        <v>24</v>
      </c>
      <c r="L384" s="287" t="s">
        <v>114</v>
      </c>
      <c r="M384" s="288"/>
      <c r="N384" s="212">
        <v>1</v>
      </c>
      <c r="O384" s="149">
        <f>3.5+7+4.5+1.5</f>
        <v>16.5</v>
      </c>
      <c r="P384" s="114">
        <f>3*3</f>
        <v>9</v>
      </c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</row>
    <row r="385" spans="2:32" ht="12.75" customHeight="1" x14ac:dyDescent="0.2">
      <c r="B385" s="21">
        <v>1</v>
      </c>
      <c r="D385" s="114"/>
      <c r="E385" s="114" t="s">
        <v>756</v>
      </c>
      <c r="F385" s="285">
        <v>4615</v>
      </c>
      <c r="G385" s="286"/>
      <c r="H385" s="114"/>
      <c r="I385" s="287"/>
      <c r="J385" s="289"/>
      <c r="K385" s="232" t="s">
        <v>24</v>
      </c>
      <c r="L385" s="287" t="s">
        <v>116</v>
      </c>
      <c r="M385" s="288"/>
      <c r="N385" s="216">
        <v>1</v>
      </c>
      <c r="O385" s="149"/>
      <c r="P385" s="114">
        <f>1.5*1.5</f>
        <v>2.25</v>
      </c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</row>
    <row r="386" spans="2:32" ht="12.75" customHeight="1" x14ac:dyDescent="0.2">
      <c r="B386" s="21">
        <v>1</v>
      </c>
      <c r="D386" s="114" t="s">
        <v>554</v>
      </c>
      <c r="E386" s="114" t="s">
        <v>756</v>
      </c>
      <c r="F386" s="285">
        <v>4616</v>
      </c>
      <c r="G386" s="286"/>
      <c r="H386" s="114"/>
      <c r="I386" s="287"/>
      <c r="J386" s="289"/>
      <c r="K386" s="232" t="s">
        <v>25</v>
      </c>
      <c r="L386" s="287" t="s">
        <v>114</v>
      </c>
      <c r="M386" s="288"/>
      <c r="N386" s="212">
        <v>1</v>
      </c>
      <c r="O386" s="149">
        <f>3.5+7+4.5+1.5</f>
        <v>16.5</v>
      </c>
      <c r="P386" s="114">
        <f>3*3</f>
        <v>9</v>
      </c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</row>
    <row r="387" spans="2:32" ht="12.75" customHeight="1" x14ac:dyDescent="0.2">
      <c r="B387" s="21">
        <v>1</v>
      </c>
      <c r="D387" s="114"/>
      <c r="E387" s="114" t="s">
        <v>756</v>
      </c>
      <c r="F387" s="285">
        <v>4616</v>
      </c>
      <c r="G387" s="286"/>
      <c r="H387" s="114"/>
      <c r="I387" s="287"/>
      <c r="J387" s="289"/>
      <c r="K387" s="232" t="s">
        <v>25</v>
      </c>
      <c r="L387" s="287" t="s">
        <v>116</v>
      </c>
      <c r="M387" s="288"/>
      <c r="N387" s="212">
        <v>1</v>
      </c>
      <c r="O387" s="149"/>
      <c r="P387" s="114">
        <f>1.5*1.5</f>
        <v>2.25</v>
      </c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</row>
    <row r="388" spans="2:32" ht="12.75" customHeight="1" x14ac:dyDescent="0.2">
      <c r="B388" s="21">
        <v>1</v>
      </c>
      <c r="D388" s="114" t="s">
        <v>555</v>
      </c>
      <c r="E388" s="114" t="s">
        <v>756</v>
      </c>
      <c r="F388" s="285">
        <v>4982</v>
      </c>
      <c r="G388" s="286"/>
      <c r="H388" s="114"/>
      <c r="I388" s="287"/>
      <c r="J388" s="289"/>
      <c r="K388" s="232" t="s">
        <v>24</v>
      </c>
      <c r="L388" s="287" t="s">
        <v>117</v>
      </c>
      <c r="M388" s="288"/>
      <c r="N388" s="212">
        <v>1</v>
      </c>
      <c r="O388" s="149">
        <f>3.5+7+4.5</f>
        <v>15</v>
      </c>
      <c r="P388" s="114">
        <f>3*3</f>
        <v>9</v>
      </c>
      <c r="Q388" s="114"/>
      <c r="R388" s="114"/>
      <c r="S388" s="110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</row>
    <row r="389" spans="2:32" ht="12.75" customHeight="1" x14ac:dyDescent="0.2">
      <c r="B389" s="21">
        <v>1</v>
      </c>
      <c r="D389" s="114" t="s">
        <v>556</v>
      </c>
      <c r="E389" s="114" t="s">
        <v>756</v>
      </c>
      <c r="F389" s="285">
        <v>4983</v>
      </c>
      <c r="G389" s="286"/>
      <c r="H389" s="114"/>
      <c r="I389" s="287"/>
      <c r="J389" s="289"/>
      <c r="K389" s="232" t="s">
        <v>25</v>
      </c>
      <c r="L389" s="287" t="s">
        <v>117</v>
      </c>
      <c r="M389" s="288"/>
      <c r="N389" s="212">
        <v>1</v>
      </c>
      <c r="O389" s="149">
        <f>3.5+7+4.5</f>
        <v>15</v>
      </c>
      <c r="P389" s="114">
        <f>3*3</f>
        <v>9</v>
      </c>
      <c r="Q389" s="114"/>
      <c r="R389" s="114"/>
      <c r="S389" s="110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</row>
    <row r="390" spans="2:32" ht="12.75" customHeight="1" x14ac:dyDescent="0.2">
      <c r="B390" s="21">
        <v>1</v>
      </c>
      <c r="D390" s="114" t="s">
        <v>557</v>
      </c>
      <c r="E390" s="114" t="s">
        <v>756</v>
      </c>
      <c r="F390" s="285">
        <v>5058</v>
      </c>
      <c r="G390" s="286"/>
      <c r="H390" s="114"/>
      <c r="I390" s="287"/>
      <c r="J390" s="289"/>
      <c r="K390" s="232" t="s">
        <v>25</v>
      </c>
      <c r="L390" s="287" t="s">
        <v>139</v>
      </c>
      <c r="M390" s="288"/>
      <c r="N390" s="212">
        <v>1</v>
      </c>
      <c r="O390" s="149">
        <f>3.5+7+3+2.5</f>
        <v>16</v>
      </c>
      <c r="P390" s="114">
        <v>9</v>
      </c>
      <c r="Q390" s="114"/>
      <c r="R390" s="114"/>
      <c r="S390" s="110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</row>
    <row r="391" spans="2:32" ht="12.75" customHeight="1" x14ac:dyDescent="0.2">
      <c r="B391" s="21">
        <v>1</v>
      </c>
      <c r="D391" s="114"/>
      <c r="E391" s="114" t="s">
        <v>756</v>
      </c>
      <c r="F391" s="285">
        <v>5040</v>
      </c>
      <c r="G391" s="286"/>
      <c r="H391" s="114"/>
      <c r="I391" s="287"/>
      <c r="J391" s="289"/>
      <c r="K391" s="232" t="s">
        <v>25</v>
      </c>
      <c r="L391" s="287" t="s">
        <v>144</v>
      </c>
      <c r="M391" s="288"/>
      <c r="N391" s="212">
        <v>1</v>
      </c>
      <c r="O391" s="149"/>
      <c r="P391" s="114">
        <f>2*2.5</f>
        <v>5</v>
      </c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</row>
    <row r="392" spans="2:32" ht="12.75" customHeight="1" x14ac:dyDescent="0.2">
      <c r="B392" s="21">
        <v>1</v>
      </c>
      <c r="D392" s="114" t="s">
        <v>558</v>
      </c>
      <c r="E392" s="114" t="s">
        <v>756</v>
      </c>
      <c r="F392" s="285">
        <v>5077</v>
      </c>
      <c r="G392" s="286"/>
      <c r="H392" s="114"/>
      <c r="I392" s="287"/>
      <c r="J392" s="289"/>
      <c r="K392" s="232" t="s">
        <v>35</v>
      </c>
      <c r="L392" s="287"/>
      <c r="M392" s="288"/>
      <c r="N392" s="212">
        <v>1</v>
      </c>
      <c r="O392" s="149"/>
      <c r="P392" s="114"/>
      <c r="Q392" s="114"/>
      <c r="R392" s="114"/>
      <c r="S392" s="114"/>
      <c r="T392" s="114">
        <v>1</v>
      </c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</row>
    <row r="393" spans="2:32" ht="12.75" customHeight="1" x14ac:dyDescent="0.2">
      <c r="B393" s="21"/>
      <c r="D393" s="114"/>
      <c r="E393" s="114"/>
      <c r="F393" s="285"/>
      <c r="G393" s="286"/>
      <c r="H393" s="114"/>
      <c r="I393" s="287"/>
      <c r="J393" s="289"/>
      <c r="K393" s="232"/>
      <c r="L393" s="287"/>
      <c r="M393" s="288"/>
      <c r="N393" s="212"/>
      <c r="O393" s="149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</row>
    <row r="394" spans="2:32" ht="12.75" customHeight="1" x14ac:dyDescent="0.2">
      <c r="B394" s="21">
        <v>1</v>
      </c>
      <c r="C394" s="5">
        <f>917+18</f>
        <v>935</v>
      </c>
      <c r="D394" s="114" t="s">
        <v>559</v>
      </c>
      <c r="E394" s="114" t="s">
        <v>765</v>
      </c>
      <c r="F394" s="156"/>
      <c r="G394" s="164"/>
      <c r="H394" s="114"/>
      <c r="I394" s="156"/>
      <c r="J394" s="164"/>
      <c r="K394" s="232"/>
      <c r="L394" s="156"/>
      <c r="M394" s="157"/>
      <c r="N394" s="212">
        <v>1</v>
      </c>
      <c r="O394" s="149"/>
      <c r="P394" s="114"/>
      <c r="Q394" s="114">
        <v>1</v>
      </c>
      <c r="R394" s="114">
        <v>1</v>
      </c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</row>
    <row r="395" spans="2:32" ht="12.75" customHeight="1" x14ac:dyDescent="0.2">
      <c r="B395" s="21">
        <v>1</v>
      </c>
      <c r="D395" s="114" t="s">
        <v>560</v>
      </c>
      <c r="E395" s="114" t="s">
        <v>765</v>
      </c>
      <c r="F395" s="156"/>
      <c r="G395" s="164"/>
      <c r="H395" s="114"/>
      <c r="I395" s="156"/>
      <c r="J395" s="164"/>
      <c r="K395" s="232"/>
      <c r="L395" s="156"/>
      <c r="M395" s="157"/>
      <c r="N395" s="212">
        <v>1</v>
      </c>
      <c r="O395" s="149"/>
      <c r="P395" s="114"/>
      <c r="Q395" s="114">
        <v>1</v>
      </c>
      <c r="R395" s="114">
        <v>1</v>
      </c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</row>
    <row r="396" spans="2:32" ht="12.75" customHeight="1" x14ac:dyDescent="0.2">
      <c r="B396" s="21">
        <v>1</v>
      </c>
      <c r="D396" s="114" t="s">
        <v>561</v>
      </c>
      <c r="E396" s="114" t="s">
        <v>765</v>
      </c>
      <c r="F396" s="285">
        <v>1499</v>
      </c>
      <c r="G396" s="286"/>
      <c r="H396" s="114"/>
      <c r="I396" s="156"/>
      <c r="J396" s="164"/>
      <c r="K396" s="232" t="s">
        <v>24</v>
      </c>
      <c r="L396" s="287" t="s">
        <v>114</v>
      </c>
      <c r="M396" s="288"/>
      <c r="N396" s="212">
        <v>1</v>
      </c>
      <c r="O396" s="149">
        <f>3.5+7+1.5+4.5</f>
        <v>16.5</v>
      </c>
      <c r="P396" s="114">
        <f>3*3</f>
        <v>9</v>
      </c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</row>
    <row r="397" spans="2:32" ht="12.75" customHeight="1" x14ac:dyDescent="0.2">
      <c r="B397" s="21">
        <v>1</v>
      </c>
      <c r="D397" s="114"/>
      <c r="E397" s="114" t="s">
        <v>765</v>
      </c>
      <c r="F397" s="285">
        <v>1499</v>
      </c>
      <c r="G397" s="286"/>
      <c r="H397" s="114"/>
      <c r="I397" s="156"/>
      <c r="J397" s="164"/>
      <c r="K397" s="232" t="s">
        <v>24</v>
      </c>
      <c r="L397" s="287" t="s">
        <v>116</v>
      </c>
      <c r="M397" s="288"/>
      <c r="N397" s="212">
        <v>1</v>
      </c>
      <c r="O397" s="149"/>
      <c r="P397" s="114">
        <f>1.5*1.5</f>
        <v>2.25</v>
      </c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</row>
    <row r="398" spans="2:32" ht="12.75" customHeight="1" x14ac:dyDescent="0.2">
      <c r="B398" s="21">
        <v>1</v>
      </c>
      <c r="D398" s="114" t="s">
        <v>562</v>
      </c>
      <c r="E398" s="114" t="s">
        <v>765</v>
      </c>
      <c r="F398" s="285">
        <v>1501</v>
      </c>
      <c r="G398" s="286"/>
      <c r="H398" s="114"/>
      <c r="I398" s="156"/>
      <c r="J398" s="164"/>
      <c r="K398" s="232" t="s">
        <v>25</v>
      </c>
      <c r="L398" s="287" t="s">
        <v>145</v>
      </c>
      <c r="M398" s="288"/>
      <c r="N398" s="212">
        <v>1</v>
      </c>
      <c r="O398" s="149">
        <f>3.5+7+1.5+4.5</f>
        <v>16.5</v>
      </c>
      <c r="P398" s="114">
        <f>3*3</f>
        <v>9</v>
      </c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</row>
    <row r="399" spans="2:32" ht="12.75" customHeight="1" x14ac:dyDescent="0.2">
      <c r="B399" s="21">
        <v>1</v>
      </c>
      <c r="D399" s="114"/>
      <c r="E399" s="114" t="s">
        <v>765</v>
      </c>
      <c r="F399" s="285">
        <v>1501</v>
      </c>
      <c r="G399" s="286"/>
      <c r="H399" s="114"/>
      <c r="I399" s="156"/>
      <c r="J399" s="164"/>
      <c r="K399" s="232" t="s">
        <v>25</v>
      </c>
      <c r="L399" s="287" t="s">
        <v>146</v>
      </c>
      <c r="M399" s="288"/>
      <c r="N399" s="212">
        <v>1</v>
      </c>
      <c r="O399" s="149"/>
      <c r="P399" s="114">
        <f>1.5*1.5</f>
        <v>2.25</v>
      </c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</row>
    <row r="400" spans="2:32" ht="12.75" customHeight="1" x14ac:dyDescent="0.2">
      <c r="B400" s="21">
        <v>1</v>
      </c>
      <c r="D400" s="114" t="s">
        <v>563</v>
      </c>
      <c r="E400" s="114" t="s">
        <v>765</v>
      </c>
      <c r="F400" s="285">
        <v>160001</v>
      </c>
      <c r="G400" s="286"/>
      <c r="H400" s="114"/>
      <c r="I400" s="156"/>
      <c r="J400" s="164"/>
      <c r="K400" s="232" t="s">
        <v>24</v>
      </c>
      <c r="L400" s="287" t="s">
        <v>117</v>
      </c>
      <c r="M400" s="288"/>
      <c r="N400" s="212">
        <v>1</v>
      </c>
      <c r="O400" s="149">
        <f>3.5+7+4.5</f>
        <v>15</v>
      </c>
      <c r="P400" s="114">
        <f>3*3</f>
        <v>9</v>
      </c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</row>
    <row r="401" spans="2:34" ht="12.75" customHeight="1" x14ac:dyDescent="0.2">
      <c r="B401" s="21">
        <v>1</v>
      </c>
      <c r="D401" s="114" t="s">
        <v>567</v>
      </c>
      <c r="E401" s="114" t="s">
        <v>765</v>
      </c>
      <c r="F401" s="285">
        <v>160001</v>
      </c>
      <c r="G401" s="286"/>
      <c r="H401" s="114"/>
      <c r="I401" s="156"/>
      <c r="J401" s="164"/>
      <c r="K401" s="232" t="s">
        <v>25</v>
      </c>
      <c r="L401" s="287" t="s">
        <v>117</v>
      </c>
      <c r="M401" s="288"/>
      <c r="N401" s="212">
        <v>1</v>
      </c>
      <c r="O401" s="149">
        <f>3.5+7+4.5</f>
        <v>15</v>
      </c>
      <c r="P401" s="114">
        <f>3*3</f>
        <v>9</v>
      </c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</row>
    <row r="402" spans="2:34" ht="12.75" customHeight="1" x14ac:dyDescent="0.2">
      <c r="B402" s="21">
        <v>1</v>
      </c>
      <c r="D402" s="114" t="s">
        <v>567</v>
      </c>
      <c r="E402" s="114" t="s">
        <v>765</v>
      </c>
      <c r="F402" s="285">
        <v>160001</v>
      </c>
      <c r="G402" s="286"/>
      <c r="H402" s="114"/>
      <c r="I402" s="287"/>
      <c r="J402" s="289"/>
      <c r="K402" s="232" t="s">
        <v>25</v>
      </c>
      <c r="L402" s="287" t="s">
        <v>117</v>
      </c>
      <c r="M402" s="288"/>
      <c r="N402" s="212">
        <v>1</v>
      </c>
      <c r="O402" s="149">
        <f>3.5+7+4.5</f>
        <v>15</v>
      </c>
      <c r="P402" s="114">
        <f>3*3</f>
        <v>9</v>
      </c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</row>
    <row r="403" spans="2:34" ht="12.75" customHeight="1" x14ac:dyDescent="0.2">
      <c r="B403" s="21"/>
      <c r="D403" s="114"/>
      <c r="E403" s="114"/>
      <c r="F403" s="285"/>
      <c r="G403" s="286"/>
      <c r="H403" s="114"/>
      <c r="I403" s="287"/>
      <c r="J403" s="289"/>
      <c r="K403" s="232"/>
      <c r="L403" s="287"/>
      <c r="M403" s="288"/>
      <c r="N403" s="212"/>
      <c r="O403" s="149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</row>
    <row r="404" spans="2:34" ht="12.75" customHeight="1" x14ac:dyDescent="0.2">
      <c r="B404" s="21"/>
      <c r="D404" s="114"/>
      <c r="E404" s="114"/>
      <c r="F404" s="287"/>
      <c r="G404" s="289"/>
      <c r="H404" s="114"/>
      <c r="I404" s="287"/>
      <c r="J404" s="289"/>
      <c r="K404" s="232"/>
      <c r="L404" s="287"/>
      <c r="M404" s="288"/>
      <c r="N404" s="212"/>
      <c r="O404" s="149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</row>
    <row r="405" spans="2:34" ht="12.75" customHeight="1" x14ac:dyDescent="0.2">
      <c r="B405" s="21"/>
      <c r="D405" s="114"/>
      <c r="E405" s="114"/>
      <c r="F405" s="287"/>
      <c r="G405" s="289"/>
      <c r="H405" s="114"/>
      <c r="I405" s="287"/>
      <c r="J405" s="289"/>
      <c r="K405" s="232"/>
      <c r="L405" s="287"/>
      <c r="M405" s="288"/>
      <c r="N405" s="212"/>
      <c r="O405" s="149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</row>
    <row r="406" spans="2:34" ht="12.75" customHeight="1" x14ac:dyDescent="0.2">
      <c r="B406" s="21"/>
      <c r="D406" s="114"/>
      <c r="E406" s="114"/>
      <c r="F406" s="287"/>
      <c r="G406" s="289"/>
      <c r="H406" s="114"/>
      <c r="I406" s="287"/>
      <c r="J406" s="289"/>
      <c r="K406" s="232"/>
      <c r="L406" s="287"/>
      <c r="M406" s="288"/>
      <c r="N406" s="212"/>
      <c r="O406" s="139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</row>
    <row r="407" spans="2:34" ht="12.75" customHeight="1" x14ac:dyDescent="0.2">
      <c r="B407" s="21"/>
      <c r="D407" s="114"/>
      <c r="E407" s="114"/>
      <c r="F407" s="287"/>
      <c r="G407" s="289"/>
      <c r="H407" s="114"/>
      <c r="I407" s="287"/>
      <c r="J407" s="289"/>
      <c r="K407" s="232"/>
      <c r="L407" s="287"/>
      <c r="M407" s="288"/>
      <c r="N407" s="212"/>
      <c r="O407" s="139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</row>
    <row r="408" spans="2:34" ht="12.75" customHeight="1" x14ac:dyDescent="0.2">
      <c r="B408" s="21"/>
      <c r="D408" s="114"/>
      <c r="E408" s="114"/>
      <c r="F408" s="287"/>
      <c r="G408" s="289"/>
      <c r="H408" s="114"/>
      <c r="I408" s="287"/>
      <c r="J408" s="289"/>
      <c r="K408" s="232"/>
      <c r="L408" s="287"/>
      <c r="M408" s="288"/>
      <c r="N408" s="212"/>
      <c r="O408" s="139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</row>
    <row r="409" spans="2:34" ht="12.75" customHeight="1" x14ac:dyDescent="0.2">
      <c r="B409" s="21"/>
      <c r="D409" s="114"/>
      <c r="E409" s="114"/>
      <c r="F409" s="287"/>
      <c r="G409" s="289"/>
      <c r="H409" s="114"/>
      <c r="I409" s="287"/>
      <c r="J409" s="289"/>
      <c r="K409" s="232"/>
      <c r="L409" s="287"/>
      <c r="M409" s="288"/>
      <c r="N409" s="212"/>
      <c r="O409" s="139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</row>
    <row r="410" spans="2:34" ht="12.75" customHeight="1" x14ac:dyDescent="0.2">
      <c r="B410" s="21"/>
      <c r="D410" s="114"/>
      <c r="E410" s="114"/>
      <c r="F410" s="287"/>
      <c r="G410" s="289"/>
      <c r="H410" s="114"/>
      <c r="I410" s="287"/>
      <c r="J410" s="289"/>
      <c r="K410" s="232"/>
      <c r="L410" s="287"/>
      <c r="M410" s="288"/>
      <c r="N410" s="212"/>
      <c r="O410" s="139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</row>
    <row r="411" spans="2:34" ht="12.75" customHeight="1" thickBot="1" x14ac:dyDescent="0.25">
      <c r="B411" s="21"/>
      <c r="D411" s="114"/>
      <c r="E411" s="114"/>
      <c r="F411" s="296"/>
      <c r="G411" s="297"/>
      <c r="H411" s="205"/>
      <c r="I411" s="296"/>
      <c r="J411" s="297"/>
      <c r="K411" s="232"/>
      <c r="L411" s="287"/>
      <c r="M411" s="288"/>
      <c r="N411" s="213"/>
      <c r="O411" s="139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  <c r="AB411" s="114"/>
      <c r="AC411" s="114"/>
      <c r="AD411" s="114"/>
      <c r="AE411" s="114"/>
      <c r="AF411" s="114"/>
    </row>
    <row r="412" spans="2:34" ht="12.75" customHeight="1" x14ac:dyDescent="0.2">
      <c r="B412" s="5" t="s">
        <v>11</v>
      </c>
      <c r="D412" s="271" t="s">
        <v>766</v>
      </c>
      <c r="E412" s="272"/>
      <c r="F412" s="272"/>
      <c r="G412" s="272"/>
      <c r="H412" s="272"/>
      <c r="I412" s="272"/>
      <c r="J412" s="272"/>
      <c r="K412" s="272"/>
      <c r="L412" s="272"/>
      <c r="M412" s="272"/>
      <c r="N412" s="291"/>
      <c r="O412" s="160">
        <f>SUM(O352:O411)</f>
        <v>261</v>
      </c>
      <c r="P412" s="160">
        <f t="shared" ref="P412:AF412" si="54">SUM(P352:P411)</f>
        <v>167.75</v>
      </c>
      <c r="Q412" s="160">
        <f t="shared" si="54"/>
        <v>28</v>
      </c>
      <c r="R412" s="160">
        <f t="shared" si="54"/>
        <v>23</v>
      </c>
      <c r="S412" s="160">
        <f t="shared" si="54"/>
        <v>0</v>
      </c>
      <c r="T412" s="160">
        <f t="shared" si="54"/>
        <v>2</v>
      </c>
      <c r="U412" s="160">
        <f t="shared" si="54"/>
        <v>0</v>
      </c>
      <c r="V412" s="160">
        <f t="shared" si="54"/>
        <v>0</v>
      </c>
      <c r="W412" s="160">
        <f t="shared" si="54"/>
        <v>0</v>
      </c>
      <c r="X412" s="160">
        <f t="shared" si="54"/>
        <v>0</v>
      </c>
      <c r="Y412" s="160">
        <f t="shared" si="54"/>
        <v>0</v>
      </c>
      <c r="Z412" s="160">
        <f t="shared" si="54"/>
        <v>0</v>
      </c>
      <c r="AA412" s="160">
        <f t="shared" si="54"/>
        <v>0</v>
      </c>
      <c r="AB412" s="160">
        <f t="shared" si="54"/>
        <v>0</v>
      </c>
      <c r="AC412" s="160">
        <f t="shared" si="54"/>
        <v>0</v>
      </c>
      <c r="AD412" s="160">
        <f t="shared" si="54"/>
        <v>0</v>
      </c>
      <c r="AE412" s="160">
        <f t="shared" si="54"/>
        <v>0</v>
      </c>
      <c r="AF412" s="160">
        <f t="shared" si="54"/>
        <v>0</v>
      </c>
      <c r="AG412" s="69" t="str">
        <f t="shared" ref="AG412" si="55">IF(AG336="","",IF(OR(AG351="", AG351="LS", AG351="LUMP"),IF(SUM(COUNTIF(AG352:AG384,"LS")+COUNTIF(AG352:AG384,"LUMP"))&gt;0,"LS",""),IF(SUM(AG352:AG384)&gt;0,ROUNDUP(SUM(AG352:AG384),0),"")))</f>
        <v/>
      </c>
    </row>
    <row r="413" spans="2:34" ht="12.75" customHeight="1" x14ac:dyDescent="0.2">
      <c r="D413" s="94" t="s">
        <v>701</v>
      </c>
      <c r="E413" s="78"/>
      <c r="F413" s="78"/>
      <c r="G413" s="78"/>
      <c r="H413" s="78"/>
      <c r="I413" s="78"/>
      <c r="J413" s="239"/>
      <c r="K413" s="78"/>
      <c r="L413" s="226"/>
      <c r="M413" s="69"/>
      <c r="N413" s="229"/>
      <c r="O413" s="69">
        <f>SUMIF($N352:$N411, 1, O352:O411)</f>
        <v>261</v>
      </c>
      <c r="P413" s="69">
        <f t="shared" ref="P413:AF413" si="56">SUMIF($N352:$N411, 1, P352:P411)</f>
        <v>167.75</v>
      </c>
      <c r="Q413" s="69">
        <f t="shared" si="56"/>
        <v>28</v>
      </c>
      <c r="R413" s="69">
        <f t="shared" si="56"/>
        <v>23</v>
      </c>
      <c r="S413" s="69">
        <f t="shared" si="56"/>
        <v>0</v>
      </c>
      <c r="T413" s="69">
        <f t="shared" si="56"/>
        <v>2</v>
      </c>
      <c r="U413" s="69">
        <f t="shared" si="56"/>
        <v>0</v>
      </c>
      <c r="V413" s="69">
        <f t="shared" si="56"/>
        <v>0</v>
      </c>
      <c r="W413" s="69">
        <f t="shared" si="56"/>
        <v>0</v>
      </c>
      <c r="X413" s="69">
        <f t="shared" si="56"/>
        <v>0</v>
      </c>
      <c r="Y413" s="69">
        <f t="shared" si="56"/>
        <v>0</v>
      </c>
      <c r="Z413" s="69">
        <f t="shared" si="56"/>
        <v>0</v>
      </c>
      <c r="AA413" s="69">
        <f t="shared" si="56"/>
        <v>0</v>
      </c>
      <c r="AB413" s="69">
        <f t="shared" si="56"/>
        <v>0</v>
      </c>
      <c r="AC413" s="69">
        <f t="shared" si="56"/>
        <v>0</v>
      </c>
      <c r="AD413" s="69">
        <f t="shared" si="56"/>
        <v>0</v>
      </c>
      <c r="AE413" s="69">
        <f t="shared" si="56"/>
        <v>0</v>
      </c>
      <c r="AF413" s="69">
        <f t="shared" si="56"/>
        <v>0</v>
      </c>
      <c r="AG413" s="69"/>
      <c r="AH413" s="69"/>
    </row>
    <row r="414" spans="2:34" ht="12.75" customHeight="1" x14ac:dyDescent="0.2">
      <c r="D414" s="94" t="s">
        <v>702</v>
      </c>
      <c r="E414" s="78"/>
      <c r="F414" s="78"/>
      <c r="G414" s="78"/>
      <c r="H414" s="78"/>
      <c r="I414" s="78"/>
      <c r="J414" s="239"/>
      <c r="K414" s="78"/>
      <c r="L414" s="226"/>
      <c r="M414" s="69"/>
      <c r="N414" s="229"/>
      <c r="O414" s="69">
        <f>SUMIF($N352:$N411, 4, O352:O411)</f>
        <v>0</v>
      </c>
      <c r="P414" s="69">
        <f t="shared" ref="P414:AF414" si="57">SUMIF($N352:$N411, 4, P352:P411)</f>
        <v>0</v>
      </c>
      <c r="Q414" s="69">
        <f t="shared" si="57"/>
        <v>0</v>
      </c>
      <c r="R414" s="69">
        <f t="shared" si="57"/>
        <v>0</v>
      </c>
      <c r="S414" s="69">
        <f t="shared" si="57"/>
        <v>0</v>
      </c>
      <c r="T414" s="69">
        <f t="shared" si="57"/>
        <v>0</v>
      </c>
      <c r="U414" s="69">
        <f t="shared" si="57"/>
        <v>0</v>
      </c>
      <c r="V414" s="69">
        <f t="shared" si="57"/>
        <v>0</v>
      </c>
      <c r="W414" s="69">
        <f t="shared" si="57"/>
        <v>0</v>
      </c>
      <c r="X414" s="69">
        <f t="shared" si="57"/>
        <v>0</v>
      </c>
      <c r="Y414" s="69">
        <f t="shared" si="57"/>
        <v>0</v>
      </c>
      <c r="Z414" s="69">
        <f t="shared" si="57"/>
        <v>0</v>
      </c>
      <c r="AA414" s="69">
        <f t="shared" si="57"/>
        <v>0</v>
      </c>
      <c r="AB414" s="69">
        <f t="shared" si="57"/>
        <v>0</v>
      </c>
      <c r="AC414" s="69">
        <f t="shared" si="57"/>
        <v>0</v>
      </c>
      <c r="AD414" s="69">
        <f t="shared" si="57"/>
        <v>0</v>
      </c>
      <c r="AE414" s="69">
        <f t="shared" si="57"/>
        <v>0</v>
      </c>
      <c r="AF414" s="69">
        <f t="shared" si="57"/>
        <v>0</v>
      </c>
      <c r="AG414" s="69"/>
      <c r="AH414" s="69"/>
    </row>
    <row r="415" spans="2:34" ht="12.75" customHeight="1" x14ac:dyDescent="0.2">
      <c r="D415" s="94" t="s">
        <v>703</v>
      </c>
      <c r="E415" s="78"/>
      <c r="F415" s="78"/>
      <c r="G415" s="78"/>
      <c r="H415" s="78"/>
      <c r="I415" s="78"/>
      <c r="J415" s="239"/>
      <c r="K415" s="78"/>
      <c r="L415" s="226"/>
      <c r="M415" s="69"/>
      <c r="N415" s="229"/>
      <c r="O415" s="69">
        <f>SUMIF($N352:$N411, 6, O352:O411)</f>
        <v>0</v>
      </c>
      <c r="P415" s="69">
        <f t="shared" ref="P415:AF415" si="58">SUMIF($N352:$N411, 6, P352:P411)</f>
        <v>0</v>
      </c>
      <c r="Q415" s="69">
        <f t="shared" si="58"/>
        <v>0</v>
      </c>
      <c r="R415" s="69">
        <f t="shared" si="58"/>
        <v>0</v>
      </c>
      <c r="S415" s="69">
        <f t="shared" si="58"/>
        <v>0</v>
      </c>
      <c r="T415" s="69">
        <f t="shared" si="58"/>
        <v>0</v>
      </c>
      <c r="U415" s="69">
        <f t="shared" si="58"/>
        <v>0</v>
      </c>
      <c r="V415" s="69">
        <f t="shared" si="58"/>
        <v>0</v>
      </c>
      <c r="W415" s="69">
        <f t="shared" si="58"/>
        <v>0</v>
      </c>
      <c r="X415" s="69">
        <f t="shared" si="58"/>
        <v>0</v>
      </c>
      <c r="Y415" s="69">
        <f t="shared" si="58"/>
        <v>0</v>
      </c>
      <c r="Z415" s="69">
        <f t="shared" si="58"/>
        <v>0</v>
      </c>
      <c r="AA415" s="69">
        <f t="shared" si="58"/>
        <v>0</v>
      </c>
      <c r="AB415" s="69">
        <f t="shared" si="58"/>
        <v>0</v>
      </c>
      <c r="AC415" s="69">
        <f t="shared" si="58"/>
        <v>0</v>
      </c>
      <c r="AD415" s="69">
        <f t="shared" si="58"/>
        <v>0</v>
      </c>
      <c r="AE415" s="69">
        <f t="shared" si="58"/>
        <v>0</v>
      </c>
      <c r="AF415" s="69">
        <f t="shared" si="58"/>
        <v>0</v>
      </c>
      <c r="AG415" s="69"/>
      <c r="AH415" s="69"/>
    </row>
    <row r="416" spans="2:34" ht="12.75" customHeight="1" x14ac:dyDescent="0.2">
      <c r="S416" s="69" t="str">
        <f>IF(S254="","",IF(OR(S269="", S269="LS", S269="LUMP"),IF(SUM(COUNTIF(S299:S334,"LS")+COUNTIF(S299:S334,"LUMP"))&gt;0,"LS",""),IF(SUM(S299:S334)&gt;0,ROUNDUP(SUM(S299:S334),0),"")))</f>
        <v/>
      </c>
      <c r="T416" s="74"/>
      <c r="U416" s="74" t="str">
        <f>IF(U254="","",IF(OR(U269="", U269="LS", U269="LUMP"),IF(SUM(COUNTIF(U299:U334,"LS")+COUNTIF(U299:U334,"LUMP"))&gt;0,"LS",""),IF(SUM(U299:U334)&gt;0,ROUNDUP(SUM(U299:U334),2),"")))</f>
        <v/>
      </c>
      <c r="V416" s="69" t="str">
        <f t="shared" ref="V416:AF416" si="59">IF(V254="","",IF(OR(V269="", V269="LS", V269="LUMP"),IF(SUM(COUNTIF(V299:V334,"LS")+COUNTIF(V299:V334,"LUMP"))&gt;0,"LS",""),IF(SUM(V299:V334)&gt;0,ROUNDUP(SUM(V299:V334),0),"")))</f>
        <v/>
      </c>
      <c r="W416" s="69" t="str">
        <f t="shared" si="59"/>
        <v/>
      </c>
      <c r="X416" s="69" t="str">
        <f t="shared" si="59"/>
        <v/>
      </c>
      <c r="Y416" s="69" t="str">
        <f t="shared" si="59"/>
        <v/>
      </c>
      <c r="Z416" s="69" t="str">
        <f t="shared" si="59"/>
        <v/>
      </c>
      <c r="AA416" s="69" t="str">
        <f t="shared" si="59"/>
        <v/>
      </c>
      <c r="AB416" s="69" t="str">
        <f t="shared" si="59"/>
        <v/>
      </c>
      <c r="AC416" s="69" t="str">
        <f t="shared" si="59"/>
        <v/>
      </c>
      <c r="AD416" s="69" t="str">
        <f t="shared" si="59"/>
        <v/>
      </c>
      <c r="AE416" s="69" t="str">
        <f t="shared" si="59"/>
        <v/>
      </c>
      <c r="AF416" s="69" t="str">
        <f t="shared" si="59"/>
        <v/>
      </c>
    </row>
    <row r="418" spans="19:32" ht="12.75" customHeight="1" x14ac:dyDescent="0.2"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</row>
    <row r="419" spans="19:32" ht="12.75" customHeight="1" x14ac:dyDescent="0.2"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</row>
    <row r="420" spans="19:32" ht="12.75" customHeight="1" x14ac:dyDescent="0.2"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spans="19:32" ht="12.75" customHeight="1" x14ac:dyDescent="0.2">
      <c r="S421" s="317"/>
      <c r="T421" s="317"/>
      <c r="U421" s="317"/>
      <c r="V421" s="317"/>
      <c r="W421" s="317"/>
      <c r="X421" s="317"/>
      <c r="Y421" s="317"/>
      <c r="Z421" s="317"/>
      <c r="AA421" s="316"/>
      <c r="AB421" s="316"/>
      <c r="AC421" s="316"/>
      <c r="AD421" s="316"/>
      <c r="AE421" s="316"/>
      <c r="AF421" s="316"/>
    </row>
    <row r="422" spans="19:32" ht="12.75" customHeight="1" x14ac:dyDescent="0.2">
      <c r="S422" s="317"/>
      <c r="T422" s="317"/>
      <c r="U422" s="317"/>
      <c r="V422" s="317"/>
      <c r="W422" s="317"/>
      <c r="X422" s="317"/>
      <c r="Y422" s="317"/>
      <c r="Z422" s="317"/>
      <c r="AA422" s="316"/>
      <c r="AB422" s="316"/>
      <c r="AC422" s="316"/>
      <c r="AD422" s="316"/>
      <c r="AE422" s="316"/>
      <c r="AF422" s="316"/>
    </row>
    <row r="423" spans="19:32" ht="12.75" customHeight="1" x14ac:dyDescent="0.2">
      <c r="S423" s="317"/>
      <c r="T423" s="317"/>
      <c r="U423" s="317"/>
      <c r="V423" s="317"/>
      <c r="W423" s="317"/>
      <c r="X423" s="317"/>
      <c r="Y423" s="317"/>
      <c r="Z423" s="317"/>
      <c r="AA423" s="316"/>
      <c r="AB423" s="316"/>
      <c r="AC423" s="316"/>
      <c r="AD423" s="316"/>
      <c r="AE423" s="316"/>
      <c r="AF423" s="316"/>
    </row>
    <row r="424" spans="19:32" ht="12.75" customHeight="1" x14ac:dyDescent="0.2">
      <c r="S424" s="317"/>
      <c r="T424" s="317"/>
      <c r="U424" s="317"/>
      <c r="V424" s="317"/>
      <c r="W424" s="317"/>
      <c r="X424" s="317"/>
      <c r="Y424" s="317"/>
      <c r="Z424" s="317"/>
      <c r="AA424" s="316"/>
      <c r="AB424" s="316"/>
      <c r="AC424" s="316"/>
      <c r="AD424" s="316"/>
      <c r="AE424" s="316"/>
      <c r="AF424" s="316"/>
    </row>
    <row r="425" spans="19:32" ht="12.75" customHeight="1" x14ac:dyDescent="0.2">
      <c r="S425" s="317"/>
      <c r="T425" s="317"/>
      <c r="U425" s="317"/>
      <c r="V425" s="317"/>
      <c r="W425" s="317"/>
      <c r="X425" s="317"/>
      <c r="Y425" s="317"/>
      <c r="Z425" s="317"/>
      <c r="AA425" s="316"/>
      <c r="AB425" s="316"/>
      <c r="AC425" s="316"/>
      <c r="AD425" s="316"/>
      <c r="AE425" s="316"/>
      <c r="AF425" s="316"/>
    </row>
    <row r="426" spans="19:32" ht="12.75" customHeight="1" x14ac:dyDescent="0.2">
      <c r="S426" s="317"/>
      <c r="T426" s="317"/>
      <c r="U426" s="317"/>
      <c r="V426" s="317"/>
      <c r="W426" s="317"/>
      <c r="X426" s="317"/>
      <c r="Y426" s="317"/>
      <c r="Z426" s="317"/>
      <c r="AA426" s="316"/>
      <c r="AB426" s="316"/>
      <c r="AC426" s="316"/>
      <c r="AD426" s="316"/>
      <c r="AE426" s="316"/>
      <c r="AF426" s="316"/>
    </row>
    <row r="427" spans="19:32" ht="12.75" customHeight="1" x14ac:dyDescent="0.2">
      <c r="S427" s="317"/>
      <c r="T427" s="317"/>
      <c r="U427" s="317"/>
      <c r="V427" s="317"/>
      <c r="W427" s="317"/>
      <c r="X427" s="317"/>
      <c r="Y427" s="317"/>
      <c r="Z427" s="317"/>
      <c r="AA427" s="316"/>
      <c r="AB427" s="316"/>
      <c r="AC427" s="316"/>
      <c r="AD427" s="316"/>
      <c r="AE427" s="316"/>
      <c r="AF427" s="316"/>
    </row>
    <row r="428" spans="19:32" ht="12.75" customHeight="1" x14ac:dyDescent="0.2">
      <c r="S428" s="317"/>
      <c r="T428" s="317"/>
      <c r="U428" s="317"/>
      <c r="V428" s="317"/>
      <c r="W428" s="317"/>
      <c r="X428" s="317"/>
      <c r="Y428" s="317"/>
      <c r="Z428" s="317"/>
      <c r="AA428" s="316"/>
      <c r="AB428" s="316"/>
      <c r="AC428" s="316"/>
      <c r="AD428" s="316"/>
      <c r="AE428" s="316"/>
      <c r="AF428" s="316"/>
    </row>
    <row r="429" spans="19:32" ht="12.75" customHeight="1" x14ac:dyDescent="0.2">
      <c r="S429" s="317"/>
      <c r="T429" s="317"/>
      <c r="U429" s="317"/>
      <c r="V429" s="317"/>
      <c r="W429" s="317"/>
      <c r="X429" s="317"/>
      <c r="Y429" s="317"/>
      <c r="Z429" s="317"/>
      <c r="AA429" s="316"/>
      <c r="AB429" s="316"/>
      <c r="AC429" s="316"/>
      <c r="AD429" s="316"/>
      <c r="AE429" s="316"/>
      <c r="AF429" s="316"/>
    </row>
    <row r="430" spans="19:32" ht="12.75" customHeight="1" x14ac:dyDescent="0.2">
      <c r="S430" s="317"/>
      <c r="T430" s="317"/>
      <c r="U430" s="317"/>
      <c r="V430" s="317"/>
      <c r="W430" s="317"/>
      <c r="X430" s="317"/>
      <c r="Y430" s="317"/>
      <c r="Z430" s="317"/>
      <c r="AA430" s="316"/>
      <c r="AB430" s="316"/>
      <c r="AC430" s="316"/>
      <c r="AD430" s="316"/>
      <c r="AE430" s="316"/>
      <c r="AF430" s="316"/>
    </row>
    <row r="431" spans="19:32" ht="12.75" customHeight="1" x14ac:dyDescent="0.2">
      <c r="S431" s="317"/>
      <c r="T431" s="317"/>
      <c r="U431" s="317"/>
      <c r="V431" s="317"/>
      <c r="W431" s="317"/>
      <c r="X431" s="317"/>
      <c r="Y431" s="317"/>
      <c r="Z431" s="317"/>
      <c r="AA431" s="316"/>
      <c r="AB431" s="316"/>
      <c r="AC431" s="316"/>
      <c r="AD431" s="316"/>
      <c r="AE431" s="316"/>
      <c r="AF431" s="316"/>
    </row>
    <row r="432" spans="19:32" ht="12.75" customHeight="1" x14ac:dyDescent="0.2">
      <c r="S432" s="317"/>
      <c r="T432" s="317"/>
      <c r="U432" s="317"/>
      <c r="V432" s="317"/>
      <c r="W432" s="317"/>
      <c r="X432" s="317"/>
      <c r="Y432" s="317"/>
      <c r="Z432" s="317"/>
      <c r="AA432" s="316"/>
      <c r="AB432" s="316"/>
      <c r="AC432" s="316"/>
      <c r="AD432" s="316"/>
      <c r="AE432" s="316"/>
      <c r="AF432" s="316"/>
    </row>
    <row r="433" spans="19:32" ht="12.75" customHeight="1" x14ac:dyDescent="0.2"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spans="19:32" ht="12.75" customHeight="1" x14ac:dyDescent="0.2"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</row>
    <row r="435" spans="19:32" ht="12.75" customHeight="1" x14ac:dyDescent="0.2"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</row>
    <row r="436" spans="19:32" ht="12.75" customHeight="1" x14ac:dyDescent="0.2"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</row>
    <row r="437" spans="19:32" ht="12.75" customHeight="1" x14ac:dyDescent="0.2"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</row>
    <row r="438" spans="19:32" ht="12.75" customHeight="1" x14ac:dyDescent="0.2"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</row>
    <row r="439" spans="19:32" ht="12.75" customHeight="1" x14ac:dyDescent="0.2"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</row>
    <row r="440" spans="19:32" ht="12.75" customHeight="1" x14ac:dyDescent="0.2"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</row>
    <row r="441" spans="19:32" ht="12.75" customHeight="1" x14ac:dyDescent="0.2"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</row>
    <row r="442" spans="19:32" ht="12.75" customHeight="1" x14ac:dyDescent="0.2"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</row>
    <row r="443" spans="19:32" ht="12.75" customHeight="1" x14ac:dyDescent="0.2"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</row>
    <row r="444" spans="19:32" ht="12.75" customHeight="1" x14ac:dyDescent="0.2"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</row>
    <row r="445" spans="19:32" ht="12.75" customHeight="1" x14ac:dyDescent="0.2"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</row>
    <row r="446" spans="19:32" ht="12.75" customHeight="1" x14ac:dyDescent="0.2"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</row>
    <row r="447" spans="19:32" ht="12.75" customHeight="1" x14ac:dyDescent="0.2"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</row>
    <row r="448" spans="19:32" ht="12.75" customHeight="1" x14ac:dyDescent="0.2"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</row>
    <row r="449" spans="19:32" ht="12.75" customHeight="1" x14ac:dyDescent="0.2"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</row>
    <row r="450" spans="19:32" ht="12.75" customHeight="1" x14ac:dyDescent="0.2"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</row>
    <row r="451" spans="19:32" ht="12.75" customHeight="1" x14ac:dyDescent="0.2"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</row>
    <row r="452" spans="19:32" ht="12.75" customHeight="1" x14ac:dyDescent="0.2"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</row>
    <row r="453" spans="19:32" ht="12.75" customHeight="1" x14ac:dyDescent="0.2"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</row>
    <row r="454" spans="19:32" ht="12.75" customHeight="1" x14ac:dyDescent="0.2"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</row>
    <row r="455" spans="19:32" ht="12.75" customHeight="1" x14ac:dyDescent="0.2"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</row>
    <row r="456" spans="19:32" ht="12.75" customHeight="1" x14ac:dyDescent="0.2"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</row>
    <row r="457" spans="19:32" ht="12.75" customHeight="1" x14ac:dyDescent="0.2"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</row>
    <row r="458" spans="19:32" ht="12.75" customHeight="1" x14ac:dyDescent="0.2"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</row>
    <row r="459" spans="19:32" ht="12.75" customHeight="1" x14ac:dyDescent="0.2"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</row>
    <row r="460" spans="19:32" ht="12.75" customHeight="1" x14ac:dyDescent="0.2"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</row>
    <row r="461" spans="19:32" ht="12.75" customHeight="1" x14ac:dyDescent="0.2"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</row>
    <row r="462" spans="19:32" ht="12.75" customHeight="1" x14ac:dyDescent="0.2"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</row>
    <row r="463" spans="19:32" ht="12.75" customHeight="1" x14ac:dyDescent="0.2"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</row>
    <row r="464" spans="19:32" ht="12.75" customHeight="1" x14ac:dyDescent="0.2"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</row>
    <row r="465" spans="19:32" ht="12.75" customHeight="1" x14ac:dyDescent="0.2"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</row>
    <row r="466" spans="19:32" ht="12.75" customHeight="1" x14ac:dyDescent="0.2"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</row>
    <row r="467" spans="19:32" ht="12.75" customHeight="1" x14ac:dyDescent="0.2"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</row>
    <row r="468" spans="19:32" ht="12.75" customHeight="1" x14ac:dyDescent="0.2"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</row>
    <row r="469" spans="19:32" ht="12.75" customHeight="1" x14ac:dyDescent="0.2"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</row>
    <row r="470" spans="19:32" ht="12.75" customHeight="1" x14ac:dyDescent="0.2"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</row>
    <row r="471" spans="19:32" ht="12.75" customHeight="1" x14ac:dyDescent="0.2"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</row>
    <row r="472" spans="19:32" ht="12.75" customHeight="1" x14ac:dyDescent="0.2"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</row>
    <row r="473" spans="19:32" ht="12.75" customHeight="1" x14ac:dyDescent="0.2"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</row>
    <row r="474" spans="19:32" ht="12.75" customHeight="1" x14ac:dyDescent="0.2"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</row>
    <row r="475" spans="19:32" ht="12.75" customHeight="1" x14ac:dyDescent="0.2"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</row>
    <row r="476" spans="19:32" ht="12.75" customHeight="1" x14ac:dyDescent="0.2"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</row>
    <row r="477" spans="19:32" ht="12.75" customHeight="1" x14ac:dyDescent="0.2"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</row>
    <row r="478" spans="19:32" ht="12.75" customHeight="1" x14ac:dyDescent="0.2"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</row>
    <row r="479" spans="19:32" ht="12.75" customHeight="1" x14ac:dyDescent="0.2"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</row>
    <row r="480" spans="19:32" ht="12.75" customHeight="1" x14ac:dyDescent="0.2"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</row>
    <row r="481" spans="19:32" ht="12.75" customHeight="1" x14ac:dyDescent="0.2"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</row>
    <row r="482" spans="19:32" ht="12.75" customHeight="1" x14ac:dyDescent="0.2"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</row>
    <row r="483" spans="19:32" ht="12.75" customHeight="1" x14ac:dyDescent="0.2"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</row>
    <row r="484" spans="19:32" ht="12.75" customHeight="1" x14ac:dyDescent="0.2"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</row>
    <row r="485" spans="19:32" ht="12.75" customHeight="1" x14ac:dyDescent="0.2"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</row>
    <row r="486" spans="19:32" ht="12.75" customHeight="1" x14ac:dyDescent="0.2"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</row>
    <row r="487" spans="19:32" ht="12.75" customHeight="1" x14ac:dyDescent="0.2"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</row>
    <row r="488" spans="19:32" ht="12.75" customHeight="1" x14ac:dyDescent="0.2"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</row>
    <row r="489" spans="19:32" ht="12.75" customHeight="1" x14ac:dyDescent="0.2"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</row>
    <row r="490" spans="19:32" ht="12.75" customHeight="1" x14ac:dyDescent="0.2"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</row>
    <row r="491" spans="19:32" ht="12.75" customHeight="1" x14ac:dyDescent="0.2">
      <c r="S491" s="72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</row>
    <row r="492" spans="19:32" ht="12.75" customHeight="1" x14ac:dyDescent="0.2">
      <c r="S492" s="72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</row>
    <row r="493" spans="19:32" ht="12.75" customHeight="1" x14ac:dyDescent="0.2">
      <c r="S493" s="72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</row>
    <row r="494" spans="19:32" ht="12.75" customHeight="1" x14ac:dyDescent="0.2"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</row>
    <row r="497" spans="19:32" ht="12.75" customHeight="1" x14ac:dyDescent="0.2"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</row>
    <row r="498" spans="19:32" ht="12.75" customHeight="1" x14ac:dyDescent="0.2"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</row>
    <row r="499" spans="19:32" ht="12.75" customHeight="1" x14ac:dyDescent="0.2"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spans="19:32" ht="12.75" customHeight="1" x14ac:dyDescent="0.2">
      <c r="S500" s="317"/>
      <c r="T500" s="317"/>
      <c r="U500" s="317"/>
      <c r="V500" s="317"/>
      <c r="W500" s="317"/>
      <c r="X500" s="317"/>
      <c r="Y500" s="317"/>
      <c r="Z500" s="317"/>
      <c r="AA500" s="316"/>
      <c r="AB500" s="316"/>
      <c r="AC500" s="316"/>
      <c r="AD500" s="316"/>
      <c r="AE500" s="316"/>
      <c r="AF500" s="316"/>
    </row>
    <row r="501" spans="19:32" ht="12.75" customHeight="1" x14ac:dyDescent="0.2">
      <c r="S501" s="317"/>
      <c r="T501" s="317"/>
      <c r="U501" s="317"/>
      <c r="V501" s="317"/>
      <c r="W501" s="317"/>
      <c r="X501" s="317"/>
      <c r="Y501" s="317"/>
      <c r="Z501" s="317"/>
      <c r="AA501" s="316"/>
      <c r="AB501" s="316"/>
      <c r="AC501" s="316"/>
      <c r="AD501" s="316"/>
      <c r="AE501" s="316"/>
      <c r="AF501" s="316"/>
    </row>
    <row r="502" spans="19:32" ht="12.75" customHeight="1" x14ac:dyDescent="0.2">
      <c r="S502" s="317"/>
      <c r="T502" s="317"/>
      <c r="U502" s="317"/>
      <c r="V502" s="317"/>
      <c r="W502" s="317"/>
      <c r="X502" s="317"/>
      <c r="Y502" s="317"/>
      <c r="Z502" s="317"/>
      <c r="AA502" s="316"/>
      <c r="AB502" s="316"/>
      <c r="AC502" s="316"/>
      <c r="AD502" s="316"/>
      <c r="AE502" s="316"/>
      <c r="AF502" s="316"/>
    </row>
    <row r="503" spans="19:32" ht="12.75" customHeight="1" x14ac:dyDescent="0.2">
      <c r="S503" s="317"/>
      <c r="T503" s="317"/>
      <c r="U503" s="317"/>
      <c r="V503" s="317"/>
      <c r="W503" s="317"/>
      <c r="X503" s="317"/>
      <c r="Y503" s="317"/>
      <c r="Z503" s="317"/>
      <c r="AA503" s="316"/>
      <c r="AB503" s="316"/>
      <c r="AC503" s="316"/>
      <c r="AD503" s="316"/>
      <c r="AE503" s="316"/>
      <c r="AF503" s="316"/>
    </row>
    <row r="504" spans="19:32" ht="12.75" customHeight="1" x14ac:dyDescent="0.2">
      <c r="S504" s="317"/>
      <c r="T504" s="317"/>
      <c r="U504" s="317"/>
      <c r="V504" s="317"/>
      <c r="W504" s="317"/>
      <c r="X504" s="317"/>
      <c r="Y504" s="317"/>
      <c r="Z504" s="317"/>
      <c r="AA504" s="316"/>
      <c r="AB504" s="316"/>
      <c r="AC504" s="316"/>
      <c r="AD504" s="316"/>
      <c r="AE504" s="316"/>
      <c r="AF504" s="316"/>
    </row>
    <row r="505" spans="19:32" ht="12.75" customHeight="1" x14ac:dyDescent="0.2">
      <c r="S505" s="317"/>
      <c r="T505" s="317"/>
      <c r="U505" s="317"/>
      <c r="V505" s="317"/>
      <c r="W505" s="317"/>
      <c r="X505" s="317"/>
      <c r="Y505" s="317"/>
      <c r="Z505" s="317"/>
      <c r="AA505" s="316"/>
      <c r="AB505" s="316"/>
      <c r="AC505" s="316"/>
      <c r="AD505" s="316"/>
      <c r="AE505" s="316"/>
      <c r="AF505" s="316"/>
    </row>
    <row r="506" spans="19:32" ht="12.75" customHeight="1" x14ac:dyDescent="0.2">
      <c r="S506" s="317"/>
      <c r="T506" s="317"/>
      <c r="U506" s="317"/>
      <c r="V506" s="317"/>
      <c r="W506" s="317"/>
      <c r="X506" s="317"/>
      <c r="Y506" s="317"/>
      <c r="Z506" s="317"/>
      <c r="AA506" s="316"/>
      <c r="AB506" s="316"/>
      <c r="AC506" s="316"/>
      <c r="AD506" s="316"/>
      <c r="AE506" s="316"/>
      <c r="AF506" s="316"/>
    </row>
    <row r="507" spans="19:32" ht="12.75" customHeight="1" x14ac:dyDescent="0.2">
      <c r="S507" s="317"/>
      <c r="T507" s="317"/>
      <c r="U507" s="317"/>
      <c r="V507" s="317"/>
      <c r="W507" s="317"/>
      <c r="X507" s="317"/>
      <c r="Y507" s="317"/>
      <c r="Z507" s="317"/>
      <c r="AA507" s="316"/>
      <c r="AB507" s="316"/>
      <c r="AC507" s="316"/>
      <c r="AD507" s="316"/>
      <c r="AE507" s="316"/>
      <c r="AF507" s="316"/>
    </row>
    <row r="508" spans="19:32" ht="12.75" customHeight="1" x14ac:dyDescent="0.2">
      <c r="S508" s="317"/>
      <c r="T508" s="317"/>
      <c r="U508" s="317"/>
      <c r="V508" s="317"/>
      <c r="W508" s="317"/>
      <c r="X508" s="317"/>
      <c r="Y508" s="317"/>
      <c r="Z508" s="317"/>
      <c r="AA508" s="316"/>
      <c r="AB508" s="316"/>
      <c r="AC508" s="316"/>
      <c r="AD508" s="316"/>
      <c r="AE508" s="316"/>
      <c r="AF508" s="316"/>
    </row>
    <row r="509" spans="19:32" ht="12.75" customHeight="1" x14ac:dyDescent="0.2">
      <c r="S509" s="317"/>
      <c r="T509" s="317"/>
      <c r="U509" s="317"/>
      <c r="V509" s="317"/>
      <c r="W509" s="317"/>
      <c r="X509" s="317"/>
      <c r="Y509" s="317"/>
      <c r="Z509" s="317"/>
      <c r="AA509" s="316"/>
      <c r="AB509" s="316"/>
      <c r="AC509" s="316"/>
      <c r="AD509" s="316"/>
      <c r="AE509" s="316"/>
      <c r="AF509" s="316"/>
    </row>
    <row r="510" spans="19:32" ht="12.75" customHeight="1" x14ac:dyDescent="0.2">
      <c r="S510" s="317"/>
      <c r="T510" s="317"/>
      <c r="U510" s="317"/>
      <c r="V510" s="317"/>
      <c r="W510" s="317"/>
      <c r="X510" s="317"/>
      <c r="Y510" s="317"/>
      <c r="Z510" s="317"/>
      <c r="AA510" s="316"/>
      <c r="AB510" s="316"/>
      <c r="AC510" s="316"/>
      <c r="AD510" s="316"/>
      <c r="AE510" s="316"/>
      <c r="AF510" s="316"/>
    </row>
    <row r="511" spans="19:32" ht="12.75" customHeight="1" x14ac:dyDescent="0.2">
      <c r="S511" s="317"/>
      <c r="T511" s="317"/>
      <c r="U511" s="317"/>
      <c r="V511" s="317"/>
      <c r="W511" s="317"/>
      <c r="X511" s="317"/>
      <c r="Y511" s="317"/>
      <c r="Z511" s="317"/>
      <c r="AA511" s="316"/>
      <c r="AB511" s="316"/>
      <c r="AC511" s="316"/>
      <c r="AD511" s="316"/>
      <c r="AE511" s="316"/>
      <c r="AF511" s="316"/>
    </row>
    <row r="512" spans="19:32" ht="12.75" customHeight="1" x14ac:dyDescent="0.2"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spans="19:32" ht="12.75" customHeight="1" x14ac:dyDescent="0.2">
      <c r="S513" s="72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</row>
    <row r="514" spans="19:32" ht="12.75" customHeight="1" x14ac:dyDescent="0.2">
      <c r="S514" s="72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</row>
    <row r="515" spans="19:32" ht="12.75" customHeight="1" x14ac:dyDescent="0.2">
      <c r="S515" s="72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</row>
    <row r="516" spans="19:32" ht="12.75" customHeight="1" x14ac:dyDescent="0.2">
      <c r="S516" s="72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</row>
    <row r="517" spans="19:32" ht="12.75" customHeight="1" x14ac:dyDescent="0.2">
      <c r="S517" s="72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</row>
    <row r="518" spans="19:32" ht="12.75" customHeight="1" x14ac:dyDescent="0.2">
      <c r="S518" s="72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</row>
    <row r="519" spans="19:32" ht="12.75" customHeight="1" x14ac:dyDescent="0.2">
      <c r="S519" s="72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</row>
    <row r="520" spans="19:32" ht="12.75" customHeight="1" x14ac:dyDescent="0.2">
      <c r="S520" s="72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</row>
    <row r="521" spans="19:32" ht="12.75" customHeight="1" x14ac:dyDescent="0.2">
      <c r="S521" s="72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</row>
    <row r="522" spans="19:32" ht="12.75" customHeight="1" x14ac:dyDescent="0.2">
      <c r="S522" s="72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</row>
    <row r="523" spans="19:32" ht="12.75" customHeight="1" x14ac:dyDescent="0.2">
      <c r="S523" s="72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</row>
    <row r="524" spans="19:32" ht="12.75" customHeight="1" x14ac:dyDescent="0.2">
      <c r="S524" s="72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</row>
    <row r="525" spans="19:32" ht="12.75" customHeight="1" x14ac:dyDescent="0.2"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</row>
    <row r="526" spans="19:32" ht="12.75" customHeight="1" x14ac:dyDescent="0.2"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</row>
    <row r="527" spans="19:32" ht="12.75" customHeight="1" x14ac:dyDescent="0.2"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</row>
    <row r="528" spans="19:32" ht="12.75" customHeight="1" x14ac:dyDescent="0.2"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</row>
    <row r="529" spans="19:32" ht="12.75" customHeight="1" x14ac:dyDescent="0.2"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</row>
    <row r="530" spans="19:32" ht="12.75" customHeight="1" x14ac:dyDescent="0.2"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</row>
    <row r="531" spans="19:32" ht="12.75" customHeight="1" x14ac:dyDescent="0.2"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</row>
    <row r="532" spans="19:32" ht="12.75" customHeight="1" x14ac:dyDescent="0.2"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</row>
    <row r="533" spans="19:32" ht="12.75" customHeight="1" x14ac:dyDescent="0.2"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</row>
    <row r="534" spans="19:32" ht="12.75" customHeight="1" x14ac:dyDescent="0.2"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</row>
    <row r="535" spans="19:32" ht="12.75" customHeight="1" x14ac:dyDescent="0.2"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</row>
    <row r="536" spans="19:32" ht="12.75" customHeight="1" x14ac:dyDescent="0.2"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</row>
    <row r="537" spans="19:32" ht="12.75" customHeight="1" x14ac:dyDescent="0.2"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</row>
    <row r="538" spans="19:32" ht="12.75" customHeight="1" x14ac:dyDescent="0.2"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</row>
    <row r="539" spans="19:32" ht="12.75" customHeight="1" x14ac:dyDescent="0.2"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</row>
    <row r="540" spans="19:32" ht="12.75" customHeight="1" x14ac:dyDescent="0.2"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</row>
    <row r="541" spans="19:32" ht="12.75" customHeight="1" x14ac:dyDescent="0.2"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</row>
    <row r="542" spans="19:32" ht="12.75" customHeight="1" x14ac:dyDescent="0.2"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</row>
    <row r="543" spans="19:32" ht="12.75" customHeight="1" x14ac:dyDescent="0.2"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</row>
    <row r="544" spans="19:32" ht="12.75" customHeight="1" x14ac:dyDescent="0.2"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</row>
    <row r="545" spans="19:32" ht="12.75" customHeight="1" x14ac:dyDescent="0.2"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</row>
    <row r="546" spans="19:32" ht="12.75" customHeight="1" x14ac:dyDescent="0.2"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</row>
    <row r="547" spans="19:32" ht="12.75" customHeight="1" x14ac:dyDescent="0.2"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</row>
    <row r="548" spans="19:32" ht="12.75" customHeight="1" x14ac:dyDescent="0.2"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</row>
    <row r="549" spans="19:32" ht="12.75" customHeight="1" x14ac:dyDescent="0.2"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</row>
    <row r="550" spans="19:32" ht="12.75" customHeight="1" x14ac:dyDescent="0.2"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</row>
    <row r="551" spans="19:32" ht="12.75" customHeight="1" x14ac:dyDescent="0.2"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</row>
    <row r="552" spans="19:32" ht="12.75" customHeight="1" x14ac:dyDescent="0.2"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</row>
    <row r="553" spans="19:32" ht="12.75" customHeight="1" x14ac:dyDescent="0.2"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</row>
    <row r="554" spans="19:32" ht="12.75" customHeight="1" x14ac:dyDescent="0.2"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</row>
    <row r="555" spans="19:32" ht="12.75" customHeight="1" x14ac:dyDescent="0.2"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</row>
    <row r="556" spans="19:32" ht="12.75" customHeight="1" x14ac:dyDescent="0.2"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</row>
    <row r="557" spans="19:32" ht="12.75" customHeight="1" x14ac:dyDescent="0.2"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</row>
    <row r="558" spans="19:32" ht="12.75" customHeight="1" x14ac:dyDescent="0.2"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</row>
    <row r="559" spans="19:32" ht="12.75" customHeight="1" x14ac:dyDescent="0.2"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</row>
    <row r="560" spans="19:32" ht="12.75" customHeight="1" x14ac:dyDescent="0.2"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</row>
    <row r="561" spans="19:32" ht="12.75" customHeight="1" x14ac:dyDescent="0.2"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</row>
    <row r="562" spans="19:32" ht="12.75" customHeight="1" x14ac:dyDescent="0.2"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</row>
    <row r="563" spans="19:32" ht="12.75" customHeight="1" x14ac:dyDescent="0.2"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</row>
    <row r="564" spans="19:32" ht="12.75" customHeight="1" x14ac:dyDescent="0.2"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</row>
    <row r="565" spans="19:32" ht="12.75" customHeight="1" x14ac:dyDescent="0.2"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</row>
    <row r="566" spans="19:32" ht="12.75" customHeight="1" x14ac:dyDescent="0.2"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</row>
    <row r="567" spans="19:32" ht="12.75" customHeight="1" x14ac:dyDescent="0.2"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</row>
    <row r="568" spans="19:32" ht="12.75" customHeight="1" x14ac:dyDescent="0.2"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</row>
    <row r="569" spans="19:32" ht="12.75" customHeight="1" x14ac:dyDescent="0.2"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</row>
    <row r="570" spans="19:32" ht="12.75" customHeight="1" x14ac:dyDescent="0.2"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</row>
    <row r="571" spans="19:32" ht="12.75" customHeight="1" x14ac:dyDescent="0.2"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</row>
    <row r="572" spans="19:32" ht="12.75" customHeight="1" x14ac:dyDescent="0.2"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</row>
    <row r="573" spans="19:32" ht="12.75" customHeight="1" x14ac:dyDescent="0.2"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</row>
    <row r="576" spans="19:32" ht="12.75" customHeight="1" x14ac:dyDescent="0.2"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</row>
    <row r="577" spans="19:32" ht="12.75" customHeight="1" x14ac:dyDescent="0.2"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</row>
    <row r="578" spans="19:32" ht="12.75" customHeight="1" x14ac:dyDescent="0.2"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spans="19:32" ht="12.75" customHeight="1" x14ac:dyDescent="0.2">
      <c r="S579" s="317"/>
      <c r="T579" s="317"/>
      <c r="U579" s="317"/>
      <c r="V579" s="317"/>
      <c r="W579" s="317"/>
      <c r="X579" s="317"/>
      <c r="Y579" s="317"/>
      <c r="Z579" s="317"/>
      <c r="AA579" s="316"/>
      <c r="AB579" s="316"/>
      <c r="AC579" s="316"/>
      <c r="AD579" s="316"/>
      <c r="AE579" s="316"/>
      <c r="AF579" s="316"/>
    </row>
    <row r="580" spans="19:32" ht="12.75" customHeight="1" x14ac:dyDescent="0.2">
      <c r="S580" s="317"/>
      <c r="T580" s="317"/>
      <c r="U580" s="317"/>
      <c r="V580" s="317"/>
      <c r="W580" s="317"/>
      <c r="X580" s="317"/>
      <c r="Y580" s="317"/>
      <c r="Z580" s="317"/>
      <c r="AA580" s="316"/>
      <c r="AB580" s="316"/>
      <c r="AC580" s="316"/>
      <c r="AD580" s="316"/>
      <c r="AE580" s="316"/>
      <c r="AF580" s="316"/>
    </row>
    <row r="581" spans="19:32" ht="12.75" customHeight="1" x14ac:dyDescent="0.2">
      <c r="S581" s="317"/>
      <c r="T581" s="317"/>
      <c r="U581" s="317"/>
      <c r="V581" s="317"/>
      <c r="W581" s="317"/>
      <c r="X581" s="317"/>
      <c r="Y581" s="317"/>
      <c r="Z581" s="317"/>
      <c r="AA581" s="316"/>
      <c r="AB581" s="316"/>
      <c r="AC581" s="316"/>
      <c r="AD581" s="316"/>
      <c r="AE581" s="316"/>
      <c r="AF581" s="316"/>
    </row>
    <row r="582" spans="19:32" ht="12.75" customHeight="1" x14ac:dyDescent="0.2">
      <c r="S582" s="317"/>
      <c r="T582" s="317"/>
      <c r="U582" s="317"/>
      <c r="V582" s="317"/>
      <c r="W582" s="317"/>
      <c r="X582" s="317"/>
      <c r="Y582" s="317"/>
      <c r="Z582" s="317"/>
      <c r="AA582" s="316"/>
      <c r="AB582" s="316"/>
      <c r="AC582" s="316"/>
      <c r="AD582" s="316"/>
      <c r="AE582" s="316"/>
      <c r="AF582" s="316"/>
    </row>
    <row r="583" spans="19:32" ht="12.75" customHeight="1" x14ac:dyDescent="0.2">
      <c r="S583" s="317"/>
      <c r="T583" s="317"/>
      <c r="U583" s="317"/>
      <c r="V583" s="317"/>
      <c r="W583" s="317"/>
      <c r="X583" s="317"/>
      <c r="Y583" s="317"/>
      <c r="Z583" s="317"/>
      <c r="AA583" s="316"/>
      <c r="AB583" s="316"/>
      <c r="AC583" s="316"/>
      <c r="AD583" s="316"/>
      <c r="AE583" s="316"/>
      <c r="AF583" s="316"/>
    </row>
    <row r="584" spans="19:32" ht="12.75" customHeight="1" x14ac:dyDescent="0.2">
      <c r="S584" s="317"/>
      <c r="T584" s="317"/>
      <c r="U584" s="317"/>
      <c r="V584" s="317"/>
      <c r="W584" s="317"/>
      <c r="X584" s="317"/>
      <c r="Y584" s="317"/>
      <c r="Z584" s="317"/>
      <c r="AA584" s="316"/>
      <c r="AB584" s="316"/>
      <c r="AC584" s="316"/>
      <c r="AD584" s="316"/>
      <c r="AE584" s="316"/>
      <c r="AF584" s="316"/>
    </row>
    <row r="585" spans="19:32" ht="12.75" customHeight="1" x14ac:dyDescent="0.2">
      <c r="S585" s="317"/>
      <c r="T585" s="317"/>
      <c r="U585" s="317"/>
      <c r="V585" s="317"/>
      <c r="W585" s="317"/>
      <c r="X585" s="317"/>
      <c r="Y585" s="317"/>
      <c r="Z585" s="317"/>
      <c r="AA585" s="316"/>
      <c r="AB585" s="316"/>
      <c r="AC585" s="316"/>
      <c r="AD585" s="316"/>
      <c r="AE585" s="316"/>
      <c r="AF585" s="316"/>
    </row>
    <row r="586" spans="19:32" ht="12.75" customHeight="1" x14ac:dyDescent="0.2">
      <c r="S586" s="317"/>
      <c r="T586" s="317"/>
      <c r="U586" s="317"/>
      <c r="V586" s="317"/>
      <c r="W586" s="317"/>
      <c r="X586" s="317"/>
      <c r="Y586" s="317"/>
      <c r="Z586" s="317"/>
      <c r="AA586" s="316"/>
      <c r="AB586" s="316"/>
      <c r="AC586" s="316"/>
      <c r="AD586" s="316"/>
      <c r="AE586" s="316"/>
      <c r="AF586" s="316"/>
    </row>
    <row r="587" spans="19:32" ht="12.75" customHeight="1" x14ac:dyDescent="0.2">
      <c r="S587" s="317"/>
      <c r="T587" s="317"/>
      <c r="U587" s="317"/>
      <c r="V587" s="317"/>
      <c r="W587" s="317"/>
      <c r="X587" s="317"/>
      <c r="Y587" s="317"/>
      <c r="Z587" s="317"/>
      <c r="AA587" s="316"/>
      <c r="AB587" s="316"/>
      <c r="AC587" s="316"/>
      <c r="AD587" s="316"/>
      <c r="AE587" s="316"/>
      <c r="AF587" s="316"/>
    </row>
    <row r="588" spans="19:32" ht="12.75" customHeight="1" x14ac:dyDescent="0.2">
      <c r="S588" s="317"/>
      <c r="T588" s="317"/>
      <c r="U588" s="317"/>
      <c r="V588" s="317"/>
      <c r="W588" s="317"/>
      <c r="X588" s="317"/>
      <c r="Y588" s="317"/>
      <c r="Z588" s="317"/>
      <c r="AA588" s="316"/>
      <c r="AB588" s="316"/>
      <c r="AC588" s="316"/>
      <c r="AD588" s="316"/>
      <c r="AE588" s="316"/>
      <c r="AF588" s="316"/>
    </row>
    <row r="589" spans="19:32" ht="12.75" customHeight="1" x14ac:dyDescent="0.2">
      <c r="S589" s="317"/>
      <c r="T589" s="317"/>
      <c r="U589" s="317"/>
      <c r="V589" s="317"/>
      <c r="W589" s="317"/>
      <c r="X589" s="317"/>
      <c r="Y589" s="317"/>
      <c r="Z589" s="317"/>
      <c r="AA589" s="316"/>
      <c r="AB589" s="316"/>
      <c r="AC589" s="316"/>
      <c r="AD589" s="316"/>
      <c r="AE589" s="316"/>
      <c r="AF589" s="316"/>
    </row>
    <row r="590" spans="19:32" ht="12.75" customHeight="1" x14ac:dyDescent="0.2">
      <c r="S590" s="317"/>
      <c r="T590" s="317"/>
      <c r="U590" s="317"/>
      <c r="V590" s="317"/>
      <c r="W590" s="317"/>
      <c r="X590" s="317"/>
      <c r="Y590" s="317"/>
      <c r="Z590" s="317"/>
      <c r="AA590" s="316"/>
      <c r="AB590" s="316"/>
      <c r="AC590" s="316"/>
      <c r="AD590" s="316"/>
      <c r="AE590" s="316"/>
      <c r="AF590" s="316"/>
    </row>
    <row r="591" spans="19:32" ht="12.75" customHeight="1" x14ac:dyDescent="0.2"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spans="19:32" ht="12.75" customHeight="1" x14ac:dyDescent="0.2"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</row>
    <row r="593" spans="19:32" ht="12.75" customHeight="1" x14ac:dyDescent="0.2"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</row>
    <row r="594" spans="19:32" ht="12.75" customHeight="1" x14ac:dyDescent="0.2"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</row>
    <row r="595" spans="19:32" ht="12.75" customHeight="1" x14ac:dyDescent="0.2"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</row>
    <row r="596" spans="19:32" ht="12.75" customHeight="1" x14ac:dyDescent="0.2"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</row>
    <row r="597" spans="19:32" ht="12.75" customHeight="1" x14ac:dyDescent="0.2"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</row>
    <row r="598" spans="19:32" ht="12.75" customHeight="1" x14ac:dyDescent="0.2"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</row>
    <row r="599" spans="19:32" ht="12.75" customHeight="1" x14ac:dyDescent="0.2"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</row>
    <row r="600" spans="19:32" ht="12.75" customHeight="1" x14ac:dyDescent="0.2"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</row>
    <row r="601" spans="19:32" ht="12.75" customHeight="1" x14ac:dyDescent="0.2"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</row>
    <row r="602" spans="19:32" ht="12.75" customHeight="1" x14ac:dyDescent="0.2"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</row>
    <row r="603" spans="19:32" ht="12.75" customHeight="1" x14ac:dyDescent="0.2">
      <c r="S603" s="72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</row>
    <row r="604" spans="19:32" ht="12.75" customHeight="1" x14ac:dyDescent="0.2">
      <c r="S604" s="72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</row>
    <row r="605" spans="19:32" ht="12.75" customHeight="1" x14ac:dyDescent="0.2">
      <c r="S605" s="72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</row>
    <row r="606" spans="19:32" ht="12.75" customHeight="1" x14ac:dyDescent="0.2">
      <c r="S606" s="72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</row>
    <row r="607" spans="19:32" ht="12.75" customHeight="1" x14ac:dyDescent="0.2">
      <c r="S607" s="72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</row>
    <row r="608" spans="19:32" ht="12.75" customHeight="1" x14ac:dyDescent="0.2">
      <c r="S608" s="72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</row>
    <row r="609" spans="19:32" ht="12.75" customHeight="1" x14ac:dyDescent="0.2">
      <c r="S609" s="72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</row>
    <row r="610" spans="19:32" ht="12.75" customHeight="1" x14ac:dyDescent="0.2">
      <c r="S610" s="72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</row>
    <row r="611" spans="19:32" ht="12.75" customHeight="1" x14ac:dyDescent="0.2">
      <c r="S611" s="72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</row>
    <row r="612" spans="19:32" ht="12.75" customHeight="1" x14ac:dyDescent="0.2">
      <c r="S612" s="72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</row>
    <row r="613" spans="19:32" ht="12.75" customHeight="1" x14ac:dyDescent="0.2"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  <c r="AF613" s="68"/>
    </row>
    <row r="614" spans="19:32" ht="12.75" customHeight="1" x14ac:dyDescent="0.2"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  <c r="AF614" s="68"/>
    </row>
    <row r="615" spans="19:32" ht="12.75" customHeight="1" x14ac:dyDescent="0.2"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  <c r="AF615" s="68"/>
    </row>
    <row r="616" spans="19:32" ht="12.75" customHeight="1" x14ac:dyDescent="0.2"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  <c r="AF616" s="68"/>
    </row>
    <row r="617" spans="19:32" ht="12.75" customHeight="1" x14ac:dyDescent="0.2"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  <c r="AF617" s="68"/>
    </row>
    <row r="618" spans="19:32" ht="12.75" customHeight="1" x14ac:dyDescent="0.2"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  <c r="AF618" s="68"/>
    </row>
    <row r="619" spans="19:32" ht="12.75" customHeight="1" x14ac:dyDescent="0.2"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  <c r="AF619" s="68"/>
    </row>
    <row r="620" spans="19:32" ht="12.75" customHeight="1" x14ac:dyDescent="0.2"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</row>
    <row r="621" spans="19:32" ht="12.75" customHeight="1" x14ac:dyDescent="0.2"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</row>
    <row r="622" spans="19:32" ht="12.75" customHeight="1" x14ac:dyDescent="0.2"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</row>
    <row r="623" spans="19:32" ht="12.75" customHeight="1" x14ac:dyDescent="0.2"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</row>
    <row r="624" spans="19:32" ht="12.75" customHeight="1" x14ac:dyDescent="0.2"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</row>
    <row r="625" spans="19:32" ht="12.75" customHeight="1" x14ac:dyDescent="0.2"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</row>
    <row r="626" spans="19:32" ht="12.75" customHeight="1" x14ac:dyDescent="0.2"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</row>
    <row r="627" spans="19:32" ht="12.75" customHeight="1" x14ac:dyDescent="0.2"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</row>
    <row r="628" spans="19:32" ht="12.75" customHeight="1" x14ac:dyDescent="0.2"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</row>
    <row r="629" spans="19:32" ht="12.75" customHeight="1" x14ac:dyDescent="0.2"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</row>
    <row r="630" spans="19:32" ht="12.75" customHeight="1" x14ac:dyDescent="0.2"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</row>
    <row r="631" spans="19:32" ht="12.75" customHeight="1" x14ac:dyDescent="0.2"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</row>
    <row r="632" spans="19:32" ht="12.75" customHeight="1" x14ac:dyDescent="0.2"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73"/>
      <c r="AD632" s="68"/>
      <c r="AE632" s="68"/>
      <c r="AF632" s="68"/>
    </row>
    <row r="633" spans="19:32" ht="12.75" customHeight="1" x14ac:dyDescent="0.2"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73"/>
      <c r="AD633" s="68"/>
      <c r="AE633" s="68"/>
      <c r="AF633" s="68"/>
    </row>
    <row r="634" spans="19:32" ht="12.75" customHeight="1" x14ac:dyDescent="0.2"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73"/>
      <c r="AD634" s="68"/>
      <c r="AE634" s="73"/>
      <c r="AF634" s="68"/>
    </row>
    <row r="635" spans="19:32" ht="12.75" customHeight="1" x14ac:dyDescent="0.2"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73"/>
      <c r="AD635" s="68"/>
      <c r="AE635" s="73"/>
      <c r="AF635" s="68"/>
    </row>
    <row r="636" spans="19:32" ht="12.75" customHeight="1" x14ac:dyDescent="0.2"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73"/>
      <c r="AD636" s="73"/>
      <c r="AE636" s="68"/>
      <c r="AF636" s="68"/>
    </row>
    <row r="637" spans="19:32" ht="12.75" customHeight="1" x14ac:dyDescent="0.2"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73"/>
      <c r="AD637" s="73"/>
      <c r="AE637" s="68"/>
      <c r="AF637" s="68"/>
    </row>
    <row r="638" spans="19:32" ht="12.75" customHeight="1" x14ac:dyDescent="0.2"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73"/>
      <c r="AD638" s="68"/>
      <c r="AE638" s="68"/>
      <c r="AF638" s="68"/>
    </row>
    <row r="639" spans="19:32" ht="12.75" customHeight="1" x14ac:dyDescent="0.2"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73"/>
      <c r="AD639" s="68"/>
      <c r="AE639" s="68"/>
      <c r="AF639" s="68"/>
    </row>
    <row r="640" spans="19:32" ht="12.75" customHeight="1" x14ac:dyDescent="0.2"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73"/>
      <c r="AD640" s="68"/>
      <c r="AE640" s="68"/>
      <c r="AF640" s="73"/>
    </row>
    <row r="641" spans="19:32" ht="12.75" customHeight="1" x14ac:dyDescent="0.2"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73"/>
      <c r="AD641" s="68"/>
      <c r="AE641" s="73"/>
      <c r="AF641" s="73"/>
    </row>
    <row r="642" spans="19:32" ht="12.75" customHeight="1" x14ac:dyDescent="0.2"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73"/>
      <c r="AE642" s="73"/>
      <c r="AF642" s="73"/>
    </row>
    <row r="643" spans="19:32" ht="12.75" customHeight="1" x14ac:dyDescent="0.2"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73"/>
      <c r="AE643" s="68"/>
      <c r="AF643" s="68"/>
    </row>
    <row r="644" spans="19:32" ht="12.75" customHeight="1" x14ac:dyDescent="0.2"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73"/>
      <c r="AF644" s="68"/>
    </row>
    <row r="645" spans="19:32" ht="12.75" customHeight="1" x14ac:dyDescent="0.2"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73"/>
      <c r="AF645" s="68"/>
    </row>
    <row r="646" spans="19:32" ht="12.75" customHeight="1" x14ac:dyDescent="0.2"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73"/>
      <c r="AF646" s="68"/>
    </row>
    <row r="647" spans="19:32" ht="12.75" customHeight="1" x14ac:dyDescent="0.2"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73"/>
      <c r="AF647" s="68"/>
    </row>
    <row r="648" spans="19:32" ht="12.75" customHeight="1" x14ac:dyDescent="0.2"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73"/>
      <c r="AF648" s="68"/>
    </row>
    <row r="649" spans="19:32" ht="12.75" customHeight="1" x14ac:dyDescent="0.2"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73"/>
      <c r="AF649" s="68"/>
    </row>
    <row r="650" spans="19:32" ht="12.75" customHeight="1" x14ac:dyDescent="0.2"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73"/>
      <c r="AF650" s="68"/>
    </row>
    <row r="651" spans="19:32" ht="12.75" customHeight="1" x14ac:dyDescent="0.2"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73"/>
      <c r="AF651" s="68"/>
    </row>
    <row r="652" spans="19:32" ht="12.75" customHeight="1" x14ac:dyDescent="0.2"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</row>
    <row r="655" spans="19:32" ht="12.75" customHeight="1" x14ac:dyDescent="0.2"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</row>
    <row r="656" spans="19:32" ht="12.75" customHeight="1" x14ac:dyDescent="0.2"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</row>
    <row r="657" spans="19:32" ht="12.75" customHeight="1" x14ac:dyDescent="0.2"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spans="19:32" ht="12.75" customHeight="1" x14ac:dyDescent="0.2">
      <c r="S658" s="317"/>
      <c r="T658" s="317"/>
      <c r="U658" s="317"/>
      <c r="V658" s="317"/>
      <c r="W658" s="317"/>
      <c r="X658" s="317"/>
      <c r="Y658" s="317"/>
      <c r="Z658" s="317"/>
      <c r="AA658" s="316"/>
      <c r="AB658" s="316"/>
      <c r="AC658" s="316"/>
      <c r="AD658" s="316"/>
      <c r="AE658" s="316"/>
      <c r="AF658" s="316"/>
    </row>
    <row r="659" spans="19:32" ht="12.75" customHeight="1" x14ac:dyDescent="0.2">
      <c r="S659" s="317"/>
      <c r="T659" s="317"/>
      <c r="U659" s="317"/>
      <c r="V659" s="317"/>
      <c r="W659" s="317"/>
      <c r="X659" s="317"/>
      <c r="Y659" s="317"/>
      <c r="Z659" s="317"/>
      <c r="AA659" s="316"/>
      <c r="AB659" s="316"/>
      <c r="AC659" s="316"/>
      <c r="AD659" s="316"/>
      <c r="AE659" s="316"/>
      <c r="AF659" s="316"/>
    </row>
    <row r="660" spans="19:32" ht="12.75" customHeight="1" x14ac:dyDescent="0.2">
      <c r="S660" s="317"/>
      <c r="T660" s="317"/>
      <c r="U660" s="317"/>
      <c r="V660" s="317"/>
      <c r="W660" s="317"/>
      <c r="X660" s="317"/>
      <c r="Y660" s="317"/>
      <c r="Z660" s="317"/>
      <c r="AA660" s="316"/>
      <c r="AB660" s="316"/>
      <c r="AC660" s="316"/>
      <c r="AD660" s="316"/>
      <c r="AE660" s="316"/>
      <c r="AF660" s="316"/>
    </row>
    <row r="661" spans="19:32" ht="12.75" customHeight="1" x14ac:dyDescent="0.2">
      <c r="S661" s="317"/>
      <c r="T661" s="317"/>
      <c r="U661" s="317"/>
      <c r="V661" s="317"/>
      <c r="W661" s="317"/>
      <c r="X661" s="317"/>
      <c r="Y661" s="317"/>
      <c r="Z661" s="317"/>
      <c r="AA661" s="316"/>
      <c r="AB661" s="316"/>
      <c r="AC661" s="316"/>
      <c r="AD661" s="316"/>
      <c r="AE661" s="316"/>
      <c r="AF661" s="316"/>
    </row>
    <row r="662" spans="19:32" ht="12.75" customHeight="1" x14ac:dyDescent="0.2">
      <c r="S662" s="317"/>
      <c r="T662" s="317"/>
      <c r="U662" s="317"/>
      <c r="V662" s="317"/>
      <c r="W662" s="317"/>
      <c r="X662" s="317"/>
      <c r="Y662" s="317"/>
      <c r="Z662" s="317"/>
      <c r="AA662" s="316"/>
      <c r="AB662" s="316"/>
      <c r="AC662" s="316"/>
      <c r="AD662" s="316"/>
      <c r="AE662" s="316"/>
      <c r="AF662" s="316"/>
    </row>
    <row r="663" spans="19:32" ht="12.75" customHeight="1" x14ac:dyDescent="0.2">
      <c r="S663" s="317"/>
      <c r="T663" s="317"/>
      <c r="U663" s="317"/>
      <c r="V663" s="317"/>
      <c r="W663" s="317"/>
      <c r="X663" s="317"/>
      <c r="Y663" s="317"/>
      <c r="Z663" s="317"/>
      <c r="AA663" s="316"/>
      <c r="AB663" s="316"/>
      <c r="AC663" s="316"/>
      <c r="AD663" s="316"/>
      <c r="AE663" s="316"/>
      <c r="AF663" s="316"/>
    </row>
    <row r="664" spans="19:32" ht="12.75" customHeight="1" x14ac:dyDescent="0.2">
      <c r="S664" s="317"/>
      <c r="T664" s="317"/>
      <c r="U664" s="317"/>
      <c r="V664" s="317"/>
      <c r="W664" s="317"/>
      <c r="X664" s="317"/>
      <c r="Y664" s="317"/>
      <c r="Z664" s="317"/>
      <c r="AA664" s="316"/>
      <c r="AB664" s="316"/>
      <c r="AC664" s="316"/>
      <c r="AD664" s="316"/>
      <c r="AE664" s="316"/>
      <c r="AF664" s="316"/>
    </row>
    <row r="665" spans="19:32" ht="12.75" customHeight="1" x14ac:dyDescent="0.2">
      <c r="S665" s="317"/>
      <c r="T665" s="317"/>
      <c r="U665" s="317"/>
      <c r="V665" s="317"/>
      <c r="W665" s="317"/>
      <c r="X665" s="317"/>
      <c r="Y665" s="317"/>
      <c r="Z665" s="317"/>
      <c r="AA665" s="316"/>
      <c r="AB665" s="316"/>
      <c r="AC665" s="316"/>
      <c r="AD665" s="316"/>
      <c r="AE665" s="316"/>
      <c r="AF665" s="316"/>
    </row>
    <row r="666" spans="19:32" ht="12.75" customHeight="1" x14ac:dyDescent="0.2">
      <c r="S666" s="317"/>
      <c r="T666" s="317"/>
      <c r="U666" s="317"/>
      <c r="V666" s="317"/>
      <c r="W666" s="317"/>
      <c r="X666" s="317"/>
      <c r="Y666" s="317"/>
      <c r="Z666" s="317"/>
      <c r="AA666" s="316"/>
      <c r="AB666" s="316"/>
      <c r="AC666" s="316"/>
      <c r="AD666" s="316"/>
      <c r="AE666" s="316"/>
      <c r="AF666" s="316"/>
    </row>
    <row r="667" spans="19:32" ht="12.75" customHeight="1" x14ac:dyDescent="0.2">
      <c r="S667" s="317"/>
      <c r="T667" s="317"/>
      <c r="U667" s="317"/>
      <c r="V667" s="317"/>
      <c r="W667" s="317"/>
      <c r="X667" s="317"/>
      <c r="Y667" s="317"/>
      <c r="Z667" s="317"/>
      <c r="AA667" s="316"/>
      <c r="AB667" s="316"/>
      <c r="AC667" s="316"/>
      <c r="AD667" s="316"/>
      <c r="AE667" s="316"/>
      <c r="AF667" s="316"/>
    </row>
    <row r="668" spans="19:32" ht="12.75" customHeight="1" x14ac:dyDescent="0.2">
      <c r="S668" s="317"/>
      <c r="T668" s="317"/>
      <c r="U668" s="317"/>
      <c r="V668" s="317"/>
      <c r="W668" s="317"/>
      <c r="X668" s="317"/>
      <c r="Y668" s="317"/>
      <c r="Z668" s="317"/>
      <c r="AA668" s="316"/>
      <c r="AB668" s="316"/>
      <c r="AC668" s="316"/>
      <c r="AD668" s="316"/>
      <c r="AE668" s="316"/>
      <c r="AF668" s="316"/>
    </row>
    <row r="669" spans="19:32" ht="12.75" customHeight="1" x14ac:dyDescent="0.2">
      <c r="S669" s="317"/>
      <c r="T669" s="317"/>
      <c r="U669" s="317"/>
      <c r="V669" s="317"/>
      <c r="W669" s="317"/>
      <c r="X669" s="317"/>
      <c r="Y669" s="317"/>
      <c r="Z669" s="317"/>
      <c r="AA669" s="316"/>
      <c r="AB669" s="316"/>
      <c r="AC669" s="316"/>
      <c r="AD669" s="316"/>
      <c r="AE669" s="316"/>
      <c r="AF669" s="316"/>
    </row>
    <row r="670" spans="19:32" ht="12.75" customHeight="1" x14ac:dyDescent="0.2"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spans="19:32" ht="12.75" customHeight="1" x14ac:dyDescent="0.2"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73"/>
      <c r="AD671" s="68"/>
      <c r="AE671" s="68"/>
      <c r="AF671" s="68"/>
    </row>
    <row r="672" spans="19:32" ht="12.75" customHeight="1" x14ac:dyDescent="0.2"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73"/>
      <c r="AD672" s="68"/>
      <c r="AE672" s="68"/>
      <c r="AF672" s="68"/>
    </row>
    <row r="673" spans="19:32" ht="12.75" customHeight="1" x14ac:dyDescent="0.2"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73"/>
      <c r="AD673" s="68"/>
      <c r="AE673" s="68"/>
      <c r="AF673" s="68"/>
    </row>
    <row r="674" spans="19:32" ht="12.75" customHeight="1" x14ac:dyDescent="0.2"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73"/>
      <c r="AD674" s="68"/>
      <c r="AE674" s="73"/>
      <c r="AF674" s="68"/>
    </row>
    <row r="675" spans="19:32" ht="12.75" customHeight="1" x14ac:dyDescent="0.2"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73"/>
      <c r="AD675" s="68"/>
      <c r="AE675" s="73"/>
      <c r="AF675" s="68"/>
    </row>
    <row r="676" spans="19:32" ht="12.75" customHeight="1" x14ac:dyDescent="0.2"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73"/>
      <c r="AD676" s="68"/>
      <c r="AE676" s="73"/>
      <c r="AF676" s="68"/>
    </row>
    <row r="677" spans="19:32" ht="12.75" customHeight="1" x14ac:dyDescent="0.2"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73"/>
      <c r="AD677" s="73"/>
      <c r="AE677" s="68"/>
      <c r="AF677" s="68"/>
    </row>
    <row r="678" spans="19:32" ht="12.75" customHeight="1" x14ac:dyDescent="0.2"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73"/>
      <c r="AD678" s="73"/>
      <c r="AE678" s="68"/>
      <c r="AF678" s="68"/>
    </row>
    <row r="679" spans="19:32" ht="12.75" customHeight="1" x14ac:dyDescent="0.2"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73"/>
      <c r="AD679" s="73"/>
      <c r="AE679" s="68"/>
      <c r="AF679" s="68"/>
    </row>
    <row r="680" spans="19:32" ht="12.75" customHeight="1" x14ac:dyDescent="0.2"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73"/>
      <c r="AD680" s="68"/>
      <c r="AE680" s="68"/>
      <c r="AF680" s="68"/>
    </row>
    <row r="681" spans="19:32" ht="12.75" customHeight="1" x14ac:dyDescent="0.2"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73"/>
      <c r="AD681" s="68"/>
      <c r="AE681" s="68"/>
      <c r="AF681" s="68"/>
    </row>
    <row r="682" spans="19:32" ht="12.75" customHeight="1" x14ac:dyDescent="0.2"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73"/>
      <c r="AD682" s="68"/>
      <c r="AE682" s="68"/>
      <c r="AF682" s="68"/>
    </row>
    <row r="683" spans="19:32" ht="12.75" customHeight="1" x14ac:dyDescent="0.2"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73"/>
      <c r="AD683" s="68"/>
      <c r="AE683" s="68"/>
      <c r="AF683" s="73"/>
    </row>
    <row r="684" spans="19:32" ht="12.75" customHeight="1" x14ac:dyDescent="0.2"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73"/>
      <c r="AD684" s="68"/>
      <c r="AE684" s="73"/>
      <c r="AF684" s="73"/>
    </row>
    <row r="685" spans="19:32" ht="12.75" customHeight="1" x14ac:dyDescent="0.2"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73"/>
      <c r="AD685" s="68"/>
      <c r="AE685" s="73"/>
      <c r="AF685" s="73"/>
    </row>
    <row r="686" spans="19:32" ht="12.75" customHeight="1" x14ac:dyDescent="0.2"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73"/>
      <c r="AE686" s="73"/>
      <c r="AF686" s="73"/>
    </row>
    <row r="687" spans="19:32" ht="12.75" customHeight="1" x14ac:dyDescent="0.2"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73"/>
      <c r="AE687" s="68"/>
      <c r="AF687" s="68"/>
    </row>
    <row r="688" spans="19:32" ht="12.75" customHeight="1" x14ac:dyDescent="0.2"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73"/>
      <c r="AE688" s="68"/>
      <c r="AF688" s="68"/>
    </row>
    <row r="689" spans="19:32" ht="12.75" customHeight="1" x14ac:dyDescent="0.2"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73"/>
      <c r="AF689" s="68"/>
    </row>
    <row r="690" spans="19:32" ht="12.75" customHeight="1" x14ac:dyDescent="0.2"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73"/>
      <c r="AF690" s="68"/>
    </row>
    <row r="691" spans="19:32" ht="12.75" customHeight="1" x14ac:dyDescent="0.2"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73"/>
      <c r="AF691" s="68"/>
    </row>
    <row r="692" spans="19:32" ht="12.75" customHeight="1" x14ac:dyDescent="0.2"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73"/>
      <c r="AF692" s="68"/>
    </row>
    <row r="693" spans="19:32" ht="12.75" customHeight="1" x14ac:dyDescent="0.2"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73"/>
      <c r="AF693" s="68"/>
    </row>
    <row r="694" spans="19:32" ht="12.75" customHeight="1" x14ac:dyDescent="0.2"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73"/>
      <c r="AF694" s="68"/>
    </row>
    <row r="695" spans="19:32" ht="12.75" customHeight="1" x14ac:dyDescent="0.2"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73"/>
      <c r="AF695" s="68"/>
    </row>
    <row r="696" spans="19:32" ht="12.75" customHeight="1" x14ac:dyDescent="0.2"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73"/>
      <c r="AF696" s="68"/>
    </row>
    <row r="697" spans="19:32" ht="12.75" customHeight="1" x14ac:dyDescent="0.2"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73"/>
      <c r="AF697" s="68"/>
    </row>
    <row r="698" spans="19:32" ht="12.75" customHeight="1" x14ac:dyDescent="0.2"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73"/>
      <c r="AF698" s="68"/>
    </row>
    <row r="699" spans="19:32" ht="12.75" customHeight="1" x14ac:dyDescent="0.2"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73"/>
      <c r="AF699" s="68"/>
    </row>
    <row r="700" spans="19:32" ht="12.75" customHeight="1" x14ac:dyDescent="0.2"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73"/>
      <c r="AF700" s="68"/>
    </row>
    <row r="701" spans="19:32" ht="12.75" customHeight="1" x14ac:dyDescent="0.2"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73"/>
      <c r="AF701" s="68"/>
    </row>
    <row r="702" spans="19:32" ht="12.75" customHeight="1" x14ac:dyDescent="0.2"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73"/>
      <c r="AF702" s="68"/>
    </row>
    <row r="703" spans="19:32" ht="12.75" customHeight="1" x14ac:dyDescent="0.2"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73"/>
      <c r="AF703" s="68"/>
    </row>
    <row r="704" spans="19:32" ht="12.75" customHeight="1" x14ac:dyDescent="0.2"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73"/>
      <c r="AF704" s="68"/>
    </row>
    <row r="705" spans="19:32" ht="12.75" customHeight="1" x14ac:dyDescent="0.2"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73"/>
      <c r="AF705" s="68"/>
    </row>
    <row r="706" spans="19:32" ht="12.75" customHeight="1" x14ac:dyDescent="0.2"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73"/>
      <c r="AF706" s="73"/>
    </row>
    <row r="707" spans="19:32" ht="12.75" customHeight="1" x14ac:dyDescent="0.2"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73"/>
      <c r="AF707" s="68"/>
    </row>
    <row r="708" spans="19:32" ht="12.75" customHeight="1" x14ac:dyDescent="0.2"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  <c r="AF708" s="68"/>
    </row>
    <row r="709" spans="19:32" ht="12.75" customHeight="1" x14ac:dyDescent="0.2"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73"/>
      <c r="AD709" s="68"/>
      <c r="AE709" s="68"/>
      <c r="AF709" s="68"/>
    </row>
    <row r="710" spans="19:32" ht="12.75" customHeight="1" x14ac:dyDescent="0.2"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73"/>
      <c r="AD710" s="68"/>
      <c r="AE710" s="68"/>
      <c r="AF710" s="68"/>
    </row>
    <row r="711" spans="19:32" ht="12.75" customHeight="1" x14ac:dyDescent="0.2"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73"/>
      <c r="AD711" s="68"/>
      <c r="AE711" s="73"/>
      <c r="AF711" s="68"/>
    </row>
    <row r="712" spans="19:32" ht="12.75" customHeight="1" x14ac:dyDescent="0.2"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73"/>
      <c r="AD712" s="68"/>
      <c r="AE712" s="73"/>
      <c r="AF712" s="68"/>
    </row>
    <row r="713" spans="19:32" ht="12.75" customHeight="1" x14ac:dyDescent="0.2"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73"/>
      <c r="AD713" s="73"/>
      <c r="AE713" s="68"/>
      <c r="AF713" s="68"/>
    </row>
    <row r="714" spans="19:32" ht="12.75" customHeight="1" x14ac:dyDescent="0.2"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73"/>
      <c r="AD714" s="73"/>
      <c r="AE714" s="68"/>
      <c r="AF714" s="68"/>
    </row>
    <row r="715" spans="19:32" ht="12.75" customHeight="1" x14ac:dyDescent="0.2"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73"/>
      <c r="AD715" s="68"/>
      <c r="AE715" s="68"/>
      <c r="AF715" s="68"/>
    </row>
    <row r="716" spans="19:32" ht="12.75" customHeight="1" x14ac:dyDescent="0.2"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73"/>
      <c r="AD716" s="68"/>
      <c r="AE716" s="68"/>
      <c r="AF716" s="68"/>
    </row>
    <row r="717" spans="19:32" ht="12.75" customHeight="1" x14ac:dyDescent="0.2"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73"/>
      <c r="AD717" s="68"/>
      <c r="AE717" s="68"/>
      <c r="AF717" s="73"/>
    </row>
    <row r="718" spans="19:32" ht="12.75" customHeight="1" x14ac:dyDescent="0.2"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73"/>
      <c r="AD718" s="68"/>
      <c r="AE718" s="73"/>
      <c r="AF718" s="73"/>
    </row>
    <row r="719" spans="19:32" ht="12.75" customHeight="1" x14ac:dyDescent="0.2"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73"/>
      <c r="AE719" s="73"/>
      <c r="AF719" s="73"/>
    </row>
    <row r="720" spans="19:32" ht="12.75" customHeight="1" x14ac:dyDescent="0.2"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73"/>
      <c r="AE720" s="68"/>
      <c r="AF720" s="68"/>
    </row>
    <row r="721" spans="19:32" ht="12.75" customHeight="1" x14ac:dyDescent="0.2"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73"/>
      <c r="AF721" s="68"/>
    </row>
    <row r="722" spans="19:32" ht="12.75" customHeight="1" x14ac:dyDescent="0.2"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73"/>
      <c r="AF722" s="68"/>
    </row>
    <row r="723" spans="19:32" ht="12.75" customHeight="1" x14ac:dyDescent="0.2"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73"/>
      <c r="AF723" s="68"/>
    </row>
    <row r="724" spans="19:32" ht="12.75" customHeight="1" x14ac:dyDescent="0.2"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73"/>
      <c r="AF724" s="68"/>
    </row>
    <row r="725" spans="19:32" ht="12.75" customHeight="1" x14ac:dyDescent="0.2"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73"/>
      <c r="AF725" s="68"/>
    </row>
    <row r="726" spans="19:32" ht="12.75" customHeight="1" x14ac:dyDescent="0.2"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73"/>
      <c r="AF726" s="68"/>
    </row>
    <row r="727" spans="19:32" ht="12.75" customHeight="1" x14ac:dyDescent="0.2"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73"/>
      <c r="AF727" s="68"/>
    </row>
    <row r="728" spans="19:32" ht="12.75" customHeight="1" x14ac:dyDescent="0.2"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73"/>
      <c r="AF728" s="68"/>
    </row>
    <row r="729" spans="19:32" ht="12.75" customHeight="1" x14ac:dyDescent="0.2"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73"/>
      <c r="AF729" s="68"/>
    </row>
    <row r="730" spans="19:32" ht="12.75" customHeight="1" x14ac:dyDescent="0.2"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  <c r="AF730" s="73"/>
    </row>
    <row r="731" spans="19:32" ht="12.75" customHeight="1" x14ac:dyDescent="0.2"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</row>
  </sheetData>
  <mergeCells count="918">
    <mergeCell ref="F230:G230"/>
    <mergeCell ref="L323:M323"/>
    <mergeCell ref="L325:M325"/>
    <mergeCell ref="L324:M324"/>
    <mergeCell ref="F314:G314"/>
    <mergeCell ref="F315:G315"/>
    <mergeCell ref="F316:G316"/>
    <mergeCell ref="F317:G317"/>
    <mergeCell ref="F318:G318"/>
    <mergeCell ref="F319:G319"/>
    <mergeCell ref="L314:M314"/>
    <mergeCell ref="D254:J254"/>
    <mergeCell ref="D255:J255"/>
    <mergeCell ref="F225:G225"/>
    <mergeCell ref="F224:G224"/>
    <mergeCell ref="F221:G221"/>
    <mergeCell ref="F223:G223"/>
    <mergeCell ref="F219:G219"/>
    <mergeCell ref="F220:G220"/>
    <mergeCell ref="F226:G226"/>
    <mergeCell ref="F228:G228"/>
    <mergeCell ref="F229:G229"/>
    <mergeCell ref="L315:M315"/>
    <mergeCell ref="L316:M316"/>
    <mergeCell ref="L317:M317"/>
    <mergeCell ref="L319:M319"/>
    <mergeCell ref="L318:M318"/>
    <mergeCell ref="L307:M307"/>
    <mergeCell ref="L309:M309"/>
    <mergeCell ref="L310:M310"/>
    <mergeCell ref="L256:M269"/>
    <mergeCell ref="L295:M295"/>
    <mergeCell ref="L285:M285"/>
    <mergeCell ref="L282:M282"/>
    <mergeCell ref="L312:M312"/>
    <mergeCell ref="L313:M313"/>
    <mergeCell ref="L296:M296"/>
    <mergeCell ref="L143:M143"/>
    <mergeCell ref="L144:M144"/>
    <mergeCell ref="L145:M145"/>
    <mergeCell ref="L146:M146"/>
    <mergeCell ref="L211:M211"/>
    <mergeCell ref="L212:M212"/>
    <mergeCell ref="L213:M213"/>
    <mergeCell ref="L209:M209"/>
    <mergeCell ref="L210:M210"/>
    <mergeCell ref="L204:M204"/>
    <mergeCell ref="L193:M193"/>
    <mergeCell ref="L197:M197"/>
    <mergeCell ref="L160:M160"/>
    <mergeCell ref="L161:M161"/>
    <mergeCell ref="L162:M162"/>
    <mergeCell ref="L163:M163"/>
    <mergeCell ref="L164:M164"/>
    <mergeCell ref="L159:M159"/>
    <mergeCell ref="L219:M219"/>
    <mergeCell ref="L234:M234"/>
    <mergeCell ref="L222:M222"/>
    <mergeCell ref="L214:M214"/>
    <mergeCell ref="L215:M215"/>
    <mergeCell ref="L216:M216"/>
    <mergeCell ref="L229:M229"/>
    <mergeCell ref="L230:M230"/>
    <mergeCell ref="L231:M231"/>
    <mergeCell ref="L223:M223"/>
    <mergeCell ref="L217:M217"/>
    <mergeCell ref="L218:M218"/>
    <mergeCell ref="L224:M224"/>
    <mergeCell ref="L225:M225"/>
    <mergeCell ref="L226:M226"/>
    <mergeCell ref="L227:M227"/>
    <mergeCell ref="L228:M228"/>
    <mergeCell ref="L220:M220"/>
    <mergeCell ref="L221:M221"/>
    <mergeCell ref="L233:M233"/>
    <mergeCell ref="L75:M75"/>
    <mergeCell ref="L76:M76"/>
    <mergeCell ref="L77:M77"/>
    <mergeCell ref="L78:M78"/>
    <mergeCell ref="L138:M138"/>
    <mergeCell ref="L139:M139"/>
    <mergeCell ref="L140:M140"/>
    <mergeCell ref="L141:M141"/>
    <mergeCell ref="L142:M142"/>
    <mergeCell ref="L132:M132"/>
    <mergeCell ref="L133:M133"/>
    <mergeCell ref="L134:M134"/>
    <mergeCell ref="L135:M135"/>
    <mergeCell ref="L136:M136"/>
    <mergeCell ref="L137:M137"/>
    <mergeCell ref="L56:M56"/>
    <mergeCell ref="L57:M57"/>
    <mergeCell ref="L58:M58"/>
    <mergeCell ref="L62:M62"/>
    <mergeCell ref="L63:M63"/>
    <mergeCell ref="L64:M64"/>
    <mergeCell ref="L65:M65"/>
    <mergeCell ref="L73:M73"/>
    <mergeCell ref="L74:M74"/>
    <mergeCell ref="F304:G304"/>
    <mergeCell ref="I234:J234"/>
    <mergeCell ref="F191:G191"/>
    <mergeCell ref="I191:J191"/>
    <mergeCell ref="L191:M191"/>
    <mergeCell ref="F192:G192"/>
    <mergeCell ref="F203:G203"/>
    <mergeCell ref="L203:M203"/>
    <mergeCell ref="I193:J193"/>
    <mergeCell ref="F198:G198"/>
    <mergeCell ref="L198:M198"/>
    <mergeCell ref="F199:G199"/>
    <mergeCell ref="L202:M202"/>
    <mergeCell ref="F193:G193"/>
    <mergeCell ref="L196:M196"/>
    <mergeCell ref="F197:G197"/>
    <mergeCell ref="L208:M208"/>
    <mergeCell ref="L205:M205"/>
    <mergeCell ref="L206:M206"/>
    <mergeCell ref="L207:M207"/>
    <mergeCell ref="L199:M199"/>
    <mergeCell ref="L235:M235"/>
    <mergeCell ref="L236:M236"/>
    <mergeCell ref="L238:M238"/>
    <mergeCell ref="F292:G292"/>
    <mergeCell ref="I292:J292"/>
    <mergeCell ref="I293:J293"/>
    <mergeCell ref="L293:M293"/>
    <mergeCell ref="F294:G294"/>
    <mergeCell ref="I294:J294"/>
    <mergeCell ref="L294:M294"/>
    <mergeCell ref="L45:M45"/>
    <mergeCell ref="L47:M47"/>
    <mergeCell ref="L48:M48"/>
    <mergeCell ref="L49:M49"/>
    <mergeCell ref="L50:M50"/>
    <mergeCell ref="L51:M51"/>
    <mergeCell ref="L59:M59"/>
    <mergeCell ref="L61:M61"/>
    <mergeCell ref="L66:M66"/>
    <mergeCell ref="L67:M67"/>
    <mergeCell ref="L68:M68"/>
    <mergeCell ref="L69:M69"/>
    <mergeCell ref="L71:M71"/>
    <mergeCell ref="L72:M72"/>
    <mergeCell ref="L52:M52"/>
    <mergeCell ref="L54:M54"/>
    <mergeCell ref="L55:M55"/>
    <mergeCell ref="F286:G286"/>
    <mergeCell ref="I286:J286"/>
    <mergeCell ref="L286:M286"/>
    <mergeCell ref="F287:G287"/>
    <mergeCell ref="I287:J287"/>
    <mergeCell ref="L288:M288"/>
    <mergeCell ref="L287:M287"/>
    <mergeCell ref="F288:G288"/>
    <mergeCell ref="I288:J288"/>
    <mergeCell ref="P257:P268"/>
    <mergeCell ref="Q257:Q268"/>
    <mergeCell ref="L270:M270"/>
    <mergeCell ref="L283:M283"/>
    <mergeCell ref="F284:G284"/>
    <mergeCell ref="I284:J284"/>
    <mergeCell ref="L284:M284"/>
    <mergeCell ref="L274:M274"/>
    <mergeCell ref="F275:G275"/>
    <mergeCell ref="F280:G280"/>
    <mergeCell ref="I280:J280"/>
    <mergeCell ref="L280:M280"/>
    <mergeCell ref="F281:G281"/>
    <mergeCell ref="I281:J281"/>
    <mergeCell ref="L281:M281"/>
    <mergeCell ref="F282:G282"/>
    <mergeCell ref="I282:J282"/>
    <mergeCell ref="I275:J275"/>
    <mergeCell ref="L275:M275"/>
    <mergeCell ref="F276:G276"/>
    <mergeCell ref="I276:J276"/>
    <mergeCell ref="L276:M276"/>
    <mergeCell ref="N256:N269"/>
    <mergeCell ref="B256:B269"/>
    <mergeCell ref="D256:D269"/>
    <mergeCell ref="E256:E269"/>
    <mergeCell ref="F256:J269"/>
    <mergeCell ref="K256:K269"/>
    <mergeCell ref="F247:G247"/>
    <mergeCell ref="I247:J247"/>
    <mergeCell ref="F236:G236"/>
    <mergeCell ref="I236:J236"/>
    <mergeCell ref="F237:G237"/>
    <mergeCell ref="I237:J237"/>
    <mergeCell ref="F238:G238"/>
    <mergeCell ref="I238:J238"/>
    <mergeCell ref="I192:J192"/>
    <mergeCell ref="L192:M192"/>
    <mergeCell ref="F188:G188"/>
    <mergeCell ref="I188:J188"/>
    <mergeCell ref="L188:M188"/>
    <mergeCell ref="F189:G189"/>
    <mergeCell ref="I189:J189"/>
    <mergeCell ref="L189:M189"/>
    <mergeCell ref="F190:G190"/>
    <mergeCell ref="I190:J190"/>
    <mergeCell ref="L190:M190"/>
    <mergeCell ref="F208:G208"/>
    <mergeCell ref="F218:G218"/>
    <mergeCell ref="F212:G212"/>
    <mergeCell ref="F214:G214"/>
    <mergeCell ref="F209:G209"/>
    <mergeCell ref="F204:G204"/>
    <mergeCell ref="F205:G205"/>
    <mergeCell ref="F206:G206"/>
    <mergeCell ref="F207:G207"/>
    <mergeCell ref="F210:G210"/>
    <mergeCell ref="F211:G211"/>
    <mergeCell ref="F215:G215"/>
    <mergeCell ref="F216:G216"/>
    <mergeCell ref="F217:G217"/>
    <mergeCell ref="F163:G163"/>
    <mergeCell ref="I163:J163"/>
    <mergeCell ref="F164:G164"/>
    <mergeCell ref="I164:J164"/>
    <mergeCell ref="F165:G165"/>
    <mergeCell ref="I165:J165"/>
    <mergeCell ref="D172:J172"/>
    <mergeCell ref="D173:J173"/>
    <mergeCell ref="B174:B187"/>
    <mergeCell ref="D174:D187"/>
    <mergeCell ref="E174:E187"/>
    <mergeCell ref="F174:J187"/>
    <mergeCell ref="D171:AF171"/>
    <mergeCell ref="R175:R186"/>
    <mergeCell ref="O175:O186"/>
    <mergeCell ref="P175:P186"/>
    <mergeCell ref="Q175:Q186"/>
    <mergeCell ref="K174:K187"/>
    <mergeCell ref="L165:M165"/>
    <mergeCell ref="N174:N187"/>
    <mergeCell ref="L174:M187"/>
    <mergeCell ref="F160:G160"/>
    <mergeCell ref="I160:J160"/>
    <mergeCell ref="F161:G161"/>
    <mergeCell ref="I161:J161"/>
    <mergeCell ref="F162:G162"/>
    <mergeCell ref="I162:J162"/>
    <mergeCell ref="F157:G157"/>
    <mergeCell ref="F158:G158"/>
    <mergeCell ref="F159:G159"/>
    <mergeCell ref="I159:J159"/>
    <mergeCell ref="F154:G154"/>
    <mergeCell ref="F155:G155"/>
    <mergeCell ref="F156:G156"/>
    <mergeCell ref="F150:G150"/>
    <mergeCell ref="F152:G152"/>
    <mergeCell ref="F153:G153"/>
    <mergeCell ref="F147:G147"/>
    <mergeCell ref="F148:G148"/>
    <mergeCell ref="F149:G149"/>
    <mergeCell ref="F151:G151"/>
    <mergeCell ref="F144:G144"/>
    <mergeCell ref="F145:G145"/>
    <mergeCell ref="F146:G146"/>
    <mergeCell ref="F142:G142"/>
    <mergeCell ref="F143:G143"/>
    <mergeCell ref="F138:G138"/>
    <mergeCell ref="F139:G139"/>
    <mergeCell ref="F140:G140"/>
    <mergeCell ref="F137:G137"/>
    <mergeCell ref="F136:G136"/>
    <mergeCell ref="R93:R104"/>
    <mergeCell ref="F119:G119"/>
    <mergeCell ref="I119:J119"/>
    <mergeCell ref="F120:G120"/>
    <mergeCell ref="I120:J120"/>
    <mergeCell ref="F121:G121"/>
    <mergeCell ref="I121:J121"/>
    <mergeCell ref="L92:M105"/>
    <mergeCell ref="L119:M119"/>
    <mergeCell ref="L120:M120"/>
    <mergeCell ref="O93:O104"/>
    <mergeCell ref="P93:P104"/>
    <mergeCell ref="Q93:Q104"/>
    <mergeCell ref="K92:K105"/>
    <mergeCell ref="L111:M111"/>
    <mergeCell ref="F112:G112"/>
    <mergeCell ref="I112:J112"/>
    <mergeCell ref="F106:G106"/>
    <mergeCell ref="L112:M112"/>
    <mergeCell ref="L106:M106"/>
    <mergeCell ref="L123:M123"/>
    <mergeCell ref="N92:N105"/>
    <mergeCell ref="I106:J106"/>
    <mergeCell ref="F110:G110"/>
    <mergeCell ref="I110:J110"/>
    <mergeCell ref="L110:M110"/>
    <mergeCell ref="F111:G111"/>
    <mergeCell ref="I111:J111"/>
    <mergeCell ref="F77:G77"/>
    <mergeCell ref="I77:J77"/>
    <mergeCell ref="F78:G78"/>
    <mergeCell ref="I78:J78"/>
    <mergeCell ref="D90:J90"/>
    <mergeCell ref="D91:J91"/>
    <mergeCell ref="F107:G107"/>
    <mergeCell ref="I107:J107"/>
    <mergeCell ref="L107:M107"/>
    <mergeCell ref="F108:G108"/>
    <mergeCell ref="I108:J108"/>
    <mergeCell ref="L108:M108"/>
    <mergeCell ref="F109:G109"/>
    <mergeCell ref="I109:J109"/>
    <mergeCell ref="L109:M109"/>
    <mergeCell ref="B92:B105"/>
    <mergeCell ref="D92:D105"/>
    <mergeCell ref="E92:E105"/>
    <mergeCell ref="F92:J105"/>
    <mergeCell ref="F74:G74"/>
    <mergeCell ref="I74:J74"/>
    <mergeCell ref="F75:G75"/>
    <mergeCell ref="I75:J75"/>
    <mergeCell ref="F76:G76"/>
    <mergeCell ref="I76:J76"/>
    <mergeCell ref="F71:G71"/>
    <mergeCell ref="I71:J71"/>
    <mergeCell ref="F72:G72"/>
    <mergeCell ref="I72:J72"/>
    <mergeCell ref="F73:G73"/>
    <mergeCell ref="I73:J73"/>
    <mergeCell ref="F67:G67"/>
    <mergeCell ref="I67:J67"/>
    <mergeCell ref="F68:G68"/>
    <mergeCell ref="I68:J68"/>
    <mergeCell ref="F69:G69"/>
    <mergeCell ref="I69:J69"/>
    <mergeCell ref="F64:G64"/>
    <mergeCell ref="I64:J64"/>
    <mergeCell ref="F65:G65"/>
    <mergeCell ref="I65:J65"/>
    <mergeCell ref="F66:G66"/>
    <mergeCell ref="I66:J66"/>
    <mergeCell ref="F63:G63"/>
    <mergeCell ref="I63:J63"/>
    <mergeCell ref="F57:G57"/>
    <mergeCell ref="I57:J57"/>
    <mergeCell ref="F58:G58"/>
    <mergeCell ref="I58:J58"/>
    <mergeCell ref="F59:G59"/>
    <mergeCell ref="I59:J59"/>
    <mergeCell ref="F62:G62"/>
    <mergeCell ref="I62:J62"/>
    <mergeCell ref="F56:G56"/>
    <mergeCell ref="I56:J56"/>
    <mergeCell ref="F49:G49"/>
    <mergeCell ref="I49:J49"/>
    <mergeCell ref="I52:J52"/>
    <mergeCell ref="F61:G61"/>
    <mergeCell ref="I61:J61"/>
    <mergeCell ref="F52:G52"/>
    <mergeCell ref="F54:G54"/>
    <mergeCell ref="I54:J54"/>
    <mergeCell ref="F55:G55"/>
    <mergeCell ref="I55:J55"/>
    <mergeCell ref="F51:G51"/>
    <mergeCell ref="F53:G53"/>
    <mergeCell ref="I51:J51"/>
    <mergeCell ref="L26:M26"/>
    <mergeCell ref="L27:M27"/>
    <mergeCell ref="L44:M44"/>
    <mergeCell ref="L31:M31"/>
    <mergeCell ref="L32:M32"/>
    <mergeCell ref="L33:M33"/>
    <mergeCell ref="L34:M34"/>
    <mergeCell ref="I44:J44"/>
    <mergeCell ref="L42:M42"/>
    <mergeCell ref="L43:M43"/>
    <mergeCell ref="L35:M35"/>
    <mergeCell ref="L36:M36"/>
    <mergeCell ref="L28:M28"/>
    <mergeCell ref="L30:M30"/>
    <mergeCell ref="L37:M37"/>
    <mergeCell ref="L39:M39"/>
    <mergeCell ref="L40:M40"/>
    <mergeCell ref="I37:J37"/>
    <mergeCell ref="I45:J45"/>
    <mergeCell ref="F39:G39"/>
    <mergeCell ref="F50:G50"/>
    <mergeCell ref="I50:J50"/>
    <mergeCell ref="F47:G47"/>
    <mergeCell ref="I47:J47"/>
    <mergeCell ref="F48:G48"/>
    <mergeCell ref="I48:J48"/>
    <mergeCell ref="F43:G43"/>
    <mergeCell ref="I43:J43"/>
    <mergeCell ref="F42:G42"/>
    <mergeCell ref="I42:J42"/>
    <mergeCell ref="F41:G41"/>
    <mergeCell ref="F46:G46"/>
    <mergeCell ref="I39:J39"/>
    <mergeCell ref="F40:G40"/>
    <mergeCell ref="I40:J40"/>
    <mergeCell ref="B10:B23"/>
    <mergeCell ref="D10:D23"/>
    <mergeCell ref="E10:E23"/>
    <mergeCell ref="F10:J23"/>
    <mergeCell ref="I24:J24"/>
    <mergeCell ref="D8:J8"/>
    <mergeCell ref="D9:J9"/>
    <mergeCell ref="D7:AF7"/>
    <mergeCell ref="I25:J25"/>
    <mergeCell ref="K10:K23"/>
    <mergeCell ref="L10:M23"/>
    <mergeCell ref="L24:M24"/>
    <mergeCell ref="F25:G25"/>
    <mergeCell ref="O11:O22"/>
    <mergeCell ref="P11:P22"/>
    <mergeCell ref="Q11:Q22"/>
    <mergeCell ref="R11:R22"/>
    <mergeCell ref="F24:G24"/>
    <mergeCell ref="L25:M25"/>
    <mergeCell ref="N10:N23"/>
    <mergeCell ref="AC11:AC22"/>
    <mergeCell ref="AC175:AC186"/>
    <mergeCell ref="D89:AF89"/>
    <mergeCell ref="AD11:AD22"/>
    <mergeCell ref="AE11:AE22"/>
    <mergeCell ref="AF11:AF22"/>
    <mergeCell ref="S11:S22"/>
    <mergeCell ref="T11:T22"/>
    <mergeCell ref="U11:U22"/>
    <mergeCell ref="V11:V22"/>
    <mergeCell ref="W11:W22"/>
    <mergeCell ref="X11:X22"/>
    <mergeCell ref="Y11:Y22"/>
    <mergeCell ref="Z11:Z22"/>
    <mergeCell ref="F44:G44"/>
    <mergeCell ref="F36:G36"/>
    <mergeCell ref="I36:J36"/>
    <mergeCell ref="F37:G37"/>
    <mergeCell ref="F118:G118"/>
    <mergeCell ref="F26:G26"/>
    <mergeCell ref="I26:J26"/>
    <mergeCell ref="F27:G27"/>
    <mergeCell ref="I27:J27"/>
    <mergeCell ref="F35:G35"/>
    <mergeCell ref="X175:X186"/>
    <mergeCell ref="Y175:Y186"/>
    <mergeCell ref="Z175:Z186"/>
    <mergeCell ref="W175:W186"/>
    <mergeCell ref="F38:G38"/>
    <mergeCell ref="AA175:AA186"/>
    <mergeCell ref="AB175:AB186"/>
    <mergeCell ref="AA11:AA22"/>
    <mergeCell ref="AB11:AB22"/>
    <mergeCell ref="I35:J35"/>
    <mergeCell ref="F32:G32"/>
    <mergeCell ref="I32:J32"/>
    <mergeCell ref="F33:G33"/>
    <mergeCell ref="I33:J33"/>
    <mergeCell ref="F34:G34"/>
    <mergeCell ref="I34:J34"/>
    <mergeCell ref="F28:G28"/>
    <mergeCell ref="I28:J28"/>
    <mergeCell ref="F30:G30"/>
    <mergeCell ref="F29:G29"/>
    <mergeCell ref="I30:J30"/>
    <mergeCell ref="F31:G31"/>
    <mergeCell ref="I31:J31"/>
    <mergeCell ref="F45:G45"/>
    <mergeCell ref="S421:S432"/>
    <mergeCell ref="T421:T432"/>
    <mergeCell ref="U421:U432"/>
    <mergeCell ref="V421:V432"/>
    <mergeCell ref="W421:W432"/>
    <mergeCell ref="X421:X432"/>
    <mergeCell ref="Y421:Y432"/>
    <mergeCell ref="Z421:Z432"/>
    <mergeCell ref="S500:S511"/>
    <mergeCell ref="T500:T511"/>
    <mergeCell ref="U500:U511"/>
    <mergeCell ref="V500:V511"/>
    <mergeCell ref="W500:W511"/>
    <mergeCell ref="X500:X511"/>
    <mergeCell ref="Y500:Y511"/>
    <mergeCell ref="Z500:Z511"/>
    <mergeCell ref="S658:S669"/>
    <mergeCell ref="T658:T669"/>
    <mergeCell ref="U658:U669"/>
    <mergeCell ref="V658:V669"/>
    <mergeCell ref="W658:W669"/>
    <mergeCell ref="X658:X669"/>
    <mergeCell ref="Y658:Y669"/>
    <mergeCell ref="Z658:Z669"/>
    <mergeCell ref="S579:S590"/>
    <mergeCell ref="T579:T590"/>
    <mergeCell ref="U579:U590"/>
    <mergeCell ref="V579:V590"/>
    <mergeCell ref="W579:W590"/>
    <mergeCell ref="X579:X590"/>
    <mergeCell ref="Y579:Y590"/>
    <mergeCell ref="Z579:Z590"/>
    <mergeCell ref="AA421:AA432"/>
    <mergeCell ref="AB421:AB432"/>
    <mergeCell ref="AC421:AC432"/>
    <mergeCell ref="AD421:AD432"/>
    <mergeCell ref="AE421:AE432"/>
    <mergeCell ref="AF421:AF432"/>
    <mergeCell ref="AE339:AE350"/>
    <mergeCell ref="AF339:AF350"/>
    <mergeCell ref="AA658:AA669"/>
    <mergeCell ref="AB658:AB669"/>
    <mergeCell ref="AC658:AC669"/>
    <mergeCell ref="AD658:AD669"/>
    <mergeCell ref="AE658:AE669"/>
    <mergeCell ref="AF658:AF669"/>
    <mergeCell ref="AA579:AA590"/>
    <mergeCell ref="AB579:AB590"/>
    <mergeCell ref="AC579:AC590"/>
    <mergeCell ref="AD579:AD590"/>
    <mergeCell ref="AE579:AE590"/>
    <mergeCell ref="AF579:AF590"/>
    <mergeCell ref="AA500:AA511"/>
    <mergeCell ref="AB500:AB511"/>
    <mergeCell ref="AC500:AC511"/>
    <mergeCell ref="AD500:AD511"/>
    <mergeCell ref="AE500:AE511"/>
    <mergeCell ref="AF500:AF511"/>
    <mergeCell ref="AD175:AD186"/>
    <mergeCell ref="AE175:AE186"/>
    <mergeCell ref="AF175:AF186"/>
    <mergeCell ref="S93:S104"/>
    <mergeCell ref="T93:T104"/>
    <mergeCell ref="U93:U104"/>
    <mergeCell ref="V93:V104"/>
    <mergeCell ref="W93:W104"/>
    <mergeCell ref="X93:X104"/>
    <mergeCell ref="Y93:Y104"/>
    <mergeCell ref="Z93:Z104"/>
    <mergeCell ref="AA93:AA104"/>
    <mergeCell ref="AB93:AB104"/>
    <mergeCell ref="AC93:AC104"/>
    <mergeCell ref="AD93:AD104"/>
    <mergeCell ref="AE93:AE104"/>
    <mergeCell ref="AF93:AF104"/>
    <mergeCell ref="S175:S186"/>
    <mergeCell ref="T175:T186"/>
    <mergeCell ref="U175:U186"/>
    <mergeCell ref="V175:V186"/>
    <mergeCell ref="S257:S268"/>
    <mergeCell ref="I118:J118"/>
    <mergeCell ref="L118:M118"/>
    <mergeCell ref="F123:G123"/>
    <mergeCell ref="I123:J123"/>
    <mergeCell ref="F124:G124"/>
    <mergeCell ref="I124:J124"/>
    <mergeCell ref="L124:M124"/>
    <mergeCell ref="F113:G113"/>
    <mergeCell ref="F122:G122"/>
    <mergeCell ref="I113:J113"/>
    <mergeCell ref="L113:M113"/>
    <mergeCell ref="F115:G115"/>
    <mergeCell ref="I115:J115"/>
    <mergeCell ref="L115:M115"/>
    <mergeCell ref="F116:G116"/>
    <mergeCell ref="I116:J116"/>
    <mergeCell ref="L116:M116"/>
    <mergeCell ref="I122:J122"/>
    <mergeCell ref="L121:M121"/>
    <mergeCell ref="L122:M122"/>
    <mergeCell ref="F117:G117"/>
    <mergeCell ref="I117:J117"/>
    <mergeCell ref="L117:M117"/>
    <mergeCell ref="I131:J131"/>
    <mergeCell ref="F125:G125"/>
    <mergeCell ref="I125:J125"/>
    <mergeCell ref="F126:G126"/>
    <mergeCell ref="I126:J126"/>
    <mergeCell ref="F127:G127"/>
    <mergeCell ref="I127:J127"/>
    <mergeCell ref="L130:M130"/>
    <mergeCell ref="L126:M126"/>
    <mergeCell ref="L127:M127"/>
    <mergeCell ref="L129:M129"/>
    <mergeCell ref="L125:M125"/>
    <mergeCell ref="F130:G130"/>
    <mergeCell ref="I130:J130"/>
    <mergeCell ref="F129:G129"/>
    <mergeCell ref="I129:J129"/>
    <mergeCell ref="L131:M131"/>
    <mergeCell ref="F232:G232"/>
    <mergeCell ref="F239:G239"/>
    <mergeCell ref="I239:J239"/>
    <mergeCell ref="F240:G240"/>
    <mergeCell ref="I240:J240"/>
    <mergeCell ref="D253:AF253"/>
    <mergeCell ref="AA257:AA268"/>
    <mergeCell ref="AB257:AB268"/>
    <mergeCell ref="AC257:AC268"/>
    <mergeCell ref="AD257:AD268"/>
    <mergeCell ref="AE257:AE268"/>
    <mergeCell ref="AF257:AF268"/>
    <mergeCell ref="F235:G235"/>
    <mergeCell ref="I235:J235"/>
    <mergeCell ref="L237:M237"/>
    <mergeCell ref="T257:T268"/>
    <mergeCell ref="U257:U268"/>
    <mergeCell ref="V257:V268"/>
    <mergeCell ref="W257:W268"/>
    <mergeCell ref="X257:X268"/>
    <mergeCell ref="Y257:Y268"/>
    <mergeCell ref="Z257:Z268"/>
    <mergeCell ref="R257:R268"/>
    <mergeCell ref="O257:O268"/>
    <mergeCell ref="B338:B351"/>
    <mergeCell ref="D338:D351"/>
    <mergeCell ref="E338:E351"/>
    <mergeCell ref="F338:J351"/>
    <mergeCell ref="F270:G270"/>
    <mergeCell ref="I270:J270"/>
    <mergeCell ref="F299:G299"/>
    <mergeCell ref="I299:J299"/>
    <mergeCell ref="F296:G296"/>
    <mergeCell ref="I296:J296"/>
    <mergeCell ref="F274:G274"/>
    <mergeCell ref="F271:G271"/>
    <mergeCell ref="I271:J271"/>
    <mergeCell ref="F272:G272"/>
    <mergeCell ref="I272:J272"/>
    <mergeCell ref="F273:G273"/>
    <mergeCell ref="I273:J273"/>
    <mergeCell ref="F285:G285"/>
    <mergeCell ref="I285:J285"/>
    <mergeCell ref="F283:G283"/>
    <mergeCell ref="I283:J283"/>
    <mergeCell ref="F326:G326"/>
    <mergeCell ref="F313:G313"/>
    <mergeCell ref="F297:G297"/>
    <mergeCell ref="L247:M247"/>
    <mergeCell ref="L240:M240"/>
    <mergeCell ref="L239:M239"/>
    <mergeCell ref="L277:M277"/>
    <mergeCell ref="F278:G278"/>
    <mergeCell ref="I278:J278"/>
    <mergeCell ref="L278:M278"/>
    <mergeCell ref="F279:G279"/>
    <mergeCell ref="I279:J279"/>
    <mergeCell ref="L279:M279"/>
    <mergeCell ref="F277:G277"/>
    <mergeCell ref="I277:J277"/>
    <mergeCell ref="I274:J274"/>
    <mergeCell ref="L271:M271"/>
    <mergeCell ref="L272:M272"/>
    <mergeCell ref="L273:M273"/>
    <mergeCell ref="L320:M320"/>
    <mergeCell ref="L321:M321"/>
    <mergeCell ref="L322:M322"/>
    <mergeCell ref="F303:G303"/>
    <mergeCell ref="F293:G293"/>
    <mergeCell ref="L289:M289"/>
    <mergeCell ref="F290:G290"/>
    <mergeCell ref="I290:J290"/>
    <mergeCell ref="L290:M290"/>
    <mergeCell ref="F291:G291"/>
    <mergeCell ref="I291:J291"/>
    <mergeCell ref="L291:M291"/>
    <mergeCell ref="F298:G298"/>
    <mergeCell ref="I298:J298"/>
    <mergeCell ref="F295:G295"/>
    <mergeCell ref="I295:J295"/>
    <mergeCell ref="F289:G289"/>
    <mergeCell ref="I289:J289"/>
    <mergeCell ref="F312:G312"/>
    <mergeCell ref="F309:G309"/>
    <mergeCell ref="F310:G310"/>
    <mergeCell ref="F311:G311"/>
    <mergeCell ref="L292:M292"/>
    <mergeCell ref="L299:M299"/>
    <mergeCell ref="W339:W350"/>
    <mergeCell ref="L298:M298"/>
    <mergeCell ref="D336:J336"/>
    <mergeCell ref="D337:J337"/>
    <mergeCell ref="L306:M306"/>
    <mergeCell ref="O339:O350"/>
    <mergeCell ref="P339:P350"/>
    <mergeCell ref="Q339:Q350"/>
    <mergeCell ref="L302:M302"/>
    <mergeCell ref="L303:M303"/>
    <mergeCell ref="L304:M304"/>
    <mergeCell ref="F301:G301"/>
    <mergeCell ref="L301:M301"/>
    <mergeCell ref="F305:G305"/>
    <mergeCell ref="F300:G300"/>
    <mergeCell ref="L300:M300"/>
    <mergeCell ref="F306:G306"/>
    <mergeCell ref="F307:G307"/>
    <mergeCell ref="L305:M305"/>
    <mergeCell ref="F321:G321"/>
    <mergeCell ref="F322:G322"/>
    <mergeCell ref="F324:G324"/>
    <mergeCell ref="F323:G323"/>
    <mergeCell ref="F325:G325"/>
    <mergeCell ref="I353:J353"/>
    <mergeCell ref="L353:M353"/>
    <mergeCell ref="L359:M359"/>
    <mergeCell ref="L377:M377"/>
    <mergeCell ref="R339:R350"/>
    <mergeCell ref="S339:S350"/>
    <mergeCell ref="T339:T350"/>
    <mergeCell ref="U339:U350"/>
    <mergeCell ref="V339:V350"/>
    <mergeCell ref="L354:M354"/>
    <mergeCell ref="I368:J368"/>
    <mergeCell ref="L368:M368"/>
    <mergeCell ref="I369:J369"/>
    <mergeCell ref="N338:N351"/>
    <mergeCell ref="F367:G367"/>
    <mergeCell ref="I367:J367"/>
    <mergeCell ref="L367:M367"/>
    <mergeCell ref="F368:G368"/>
    <mergeCell ref="L352:M352"/>
    <mergeCell ref="K338:K351"/>
    <mergeCell ref="L338:M351"/>
    <mergeCell ref="L388:M388"/>
    <mergeCell ref="L365:M365"/>
    <mergeCell ref="L366:M366"/>
    <mergeCell ref="L356:M356"/>
    <mergeCell ref="F354:G354"/>
    <mergeCell ref="I354:J354"/>
    <mergeCell ref="I362:J362"/>
    <mergeCell ref="L362:M362"/>
    <mergeCell ref="F357:G357"/>
    <mergeCell ref="I357:J357"/>
    <mergeCell ref="L357:M357"/>
    <mergeCell ref="F358:G358"/>
    <mergeCell ref="I358:J358"/>
    <mergeCell ref="L358:M358"/>
    <mergeCell ref="F359:G359"/>
    <mergeCell ref="I359:J359"/>
    <mergeCell ref="F353:G353"/>
    <mergeCell ref="F356:G356"/>
    <mergeCell ref="F366:G366"/>
    <mergeCell ref="F360:G360"/>
    <mergeCell ref="I360:J360"/>
    <mergeCell ref="L360:M360"/>
    <mergeCell ref="F361:G361"/>
    <mergeCell ref="I361:J361"/>
    <mergeCell ref="L361:M361"/>
    <mergeCell ref="F362:G362"/>
    <mergeCell ref="F364:G364"/>
    <mergeCell ref="I364:J364"/>
    <mergeCell ref="L364:M364"/>
    <mergeCell ref="F365:G365"/>
    <mergeCell ref="I365:J365"/>
    <mergeCell ref="F363:G363"/>
    <mergeCell ref="I363:J363"/>
    <mergeCell ref="L363:M363"/>
    <mergeCell ref="L397:M397"/>
    <mergeCell ref="F398:G398"/>
    <mergeCell ref="L398:M398"/>
    <mergeCell ref="F386:G386"/>
    <mergeCell ref="I386:J386"/>
    <mergeCell ref="L386:M386"/>
    <mergeCell ref="F387:G387"/>
    <mergeCell ref="I387:J387"/>
    <mergeCell ref="L387:M387"/>
    <mergeCell ref="F388:G388"/>
    <mergeCell ref="L390:M390"/>
    <mergeCell ref="F391:G391"/>
    <mergeCell ref="I391:J391"/>
    <mergeCell ref="L393:M393"/>
    <mergeCell ref="L404:M404"/>
    <mergeCell ref="I402:J402"/>
    <mergeCell ref="I403:J403"/>
    <mergeCell ref="F400:G400"/>
    <mergeCell ref="F399:G399"/>
    <mergeCell ref="L399:M399"/>
    <mergeCell ref="L400:M400"/>
    <mergeCell ref="L401:M401"/>
    <mergeCell ref="L402:M402"/>
    <mergeCell ref="L403:M403"/>
    <mergeCell ref="L379:M379"/>
    <mergeCell ref="L391:M391"/>
    <mergeCell ref="L392:M392"/>
    <mergeCell ref="I389:J389"/>
    <mergeCell ref="L389:M389"/>
    <mergeCell ref="I388:J388"/>
    <mergeCell ref="I370:J370"/>
    <mergeCell ref="L405:M405"/>
    <mergeCell ref="L411:M411"/>
    <mergeCell ref="L385:M385"/>
    <mergeCell ref="I383:J383"/>
    <mergeCell ref="L383:M383"/>
    <mergeCell ref="I411:J411"/>
    <mergeCell ref="L406:M406"/>
    <mergeCell ref="L407:M407"/>
    <mergeCell ref="L408:M408"/>
    <mergeCell ref="L409:M409"/>
    <mergeCell ref="L410:M410"/>
    <mergeCell ref="L378:M378"/>
    <mergeCell ref="L373:M373"/>
    <mergeCell ref="L374:M374"/>
    <mergeCell ref="L375:M375"/>
    <mergeCell ref="L372:M372"/>
    <mergeCell ref="L384:M384"/>
    <mergeCell ref="F355:G355"/>
    <mergeCell ref="I355:J355"/>
    <mergeCell ref="L355:M355"/>
    <mergeCell ref="L308:M308"/>
    <mergeCell ref="F308:G308"/>
    <mergeCell ref="L376:M376"/>
    <mergeCell ref="L382:M382"/>
    <mergeCell ref="I382:J382"/>
    <mergeCell ref="F194:G194"/>
    <mergeCell ref="L194:M194"/>
    <mergeCell ref="F195:G195"/>
    <mergeCell ref="L195:M195"/>
    <mergeCell ref="F196:G196"/>
    <mergeCell ref="I381:J381"/>
    <mergeCell ref="L381:M381"/>
    <mergeCell ref="I366:J366"/>
    <mergeCell ref="I380:J380"/>
    <mergeCell ref="L380:M380"/>
    <mergeCell ref="F200:G200"/>
    <mergeCell ref="L200:M200"/>
    <mergeCell ref="F201:G201"/>
    <mergeCell ref="L201:M201"/>
    <mergeCell ref="F202:G202"/>
    <mergeCell ref="F213:G213"/>
    <mergeCell ref="I376:J376"/>
    <mergeCell ref="F402:G402"/>
    <mergeCell ref="I377:J377"/>
    <mergeCell ref="F403:G403"/>
    <mergeCell ref="I385:J385"/>
    <mergeCell ref="F405:G405"/>
    <mergeCell ref="I405:J405"/>
    <mergeCell ref="F384:G384"/>
    <mergeCell ref="I384:J384"/>
    <mergeCell ref="I379:J379"/>
    <mergeCell ref="F396:G396"/>
    <mergeCell ref="F390:G390"/>
    <mergeCell ref="I390:J390"/>
    <mergeCell ref="F397:G397"/>
    <mergeCell ref="F392:G392"/>
    <mergeCell ref="I392:J392"/>
    <mergeCell ref="F389:G389"/>
    <mergeCell ref="F385:G385"/>
    <mergeCell ref="F404:G404"/>
    <mergeCell ref="I404:J404"/>
    <mergeCell ref="F222:G222"/>
    <mergeCell ref="F231:G231"/>
    <mergeCell ref="I406:J406"/>
    <mergeCell ref="I407:J407"/>
    <mergeCell ref="I408:J408"/>
    <mergeCell ref="I409:J409"/>
    <mergeCell ref="I410:J410"/>
    <mergeCell ref="F401:G401"/>
    <mergeCell ref="F393:G393"/>
    <mergeCell ref="F227:G227"/>
    <mergeCell ref="F233:G233"/>
    <mergeCell ref="I233:J233"/>
    <mergeCell ref="I393:J393"/>
    <mergeCell ref="I378:J378"/>
    <mergeCell ref="F372:G372"/>
    <mergeCell ref="I372:J372"/>
    <mergeCell ref="I373:J373"/>
    <mergeCell ref="I374:J374"/>
    <mergeCell ref="I371:J371"/>
    <mergeCell ref="I375:J375"/>
    <mergeCell ref="F352:G352"/>
    <mergeCell ref="I352:J352"/>
    <mergeCell ref="F302:G302"/>
    <mergeCell ref="D335:AF335"/>
    <mergeCell ref="D166:N166"/>
    <mergeCell ref="D84:N84"/>
    <mergeCell ref="V150:V154"/>
    <mergeCell ref="V155:V159"/>
    <mergeCell ref="L147:M147"/>
    <mergeCell ref="L148:M148"/>
    <mergeCell ref="L149:M149"/>
    <mergeCell ref="L154:M154"/>
    <mergeCell ref="L155:M155"/>
    <mergeCell ref="L157:M157"/>
    <mergeCell ref="L158:M158"/>
    <mergeCell ref="L156:M156"/>
    <mergeCell ref="U150:U154"/>
    <mergeCell ref="U155:U159"/>
    <mergeCell ref="L153:M153"/>
    <mergeCell ref="L150:M150"/>
    <mergeCell ref="L151:M151"/>
    <mergeCell ref="L152:M152"/>
    <mergeCell ref="F132:G132"/>
    <mergeCell ref="F133:G133"/>
    <mergeCell ref="F134:G134"/>
    <mergeCell ref="F141:G141"/>
    <mergeCell ref="F135:G135"/>
    <mergeCell ref="F131:G131"/>
    <mergeCell ref="F234:G234"/>
    <mergeCell ref="L396:M396"/>
    <mergeCell ref="I356:J356"/>
    <mergeCell ref="AC339:AC350"/>
    <mergeCell ref="AD339:AD350"/>
    <mergeCell ref="X339:X350"/>
    <mergeCell ref="Y339:Y350"/>
    <mergeCell ref="D412:N412"/>
    <mergeCell ref="D248:N248"/>
    <mergeCell ref="I297:J297"/>
    <mergeCell ref="L297:M297"/>
    <mergeCell ref="L311:M311"/>
    <mergeCell ref="L326:M326"/>
    <mergeCell ref="F320:G320"/>
    <mergeCell ref="D330:N330"/>
    <mergeCell ref="Z339:Z350"/>
    <mergeCell ref="AA339:AA350"/>
    <mergeCell ref="AB339:AB350"/>
    <mergeCell ref="F406:G406"/>
    <mergeCell ref="F407:G407"/>
    <mergeCell ref="F408:G408"/>
    <mergeCell ref="F409:G409"/>
    <mergeCell ref="F410:G410"/>
    <mergeCell ref="F411:G411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823"/>
  <sheetViews>
    <sheetView showGridLines="0" topLeftCell="A124" zoomScale="85" zoomScaleNormal="85" workbookViewId="0">
      <selection activeCell="L145" sqref="L145"/>
    </sheetView>
  </sheetViews>
  <sheetFormatPr defaultColWidth="9.140625"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5" width="8.7109375" style="5" customWidth="1"/>
    <col min="6" max="6" width="12.7109375" style="5" customWidth="1"/>
    <col min="7" max="7" width="6.7109375" style="5" customWidth="1"/>
    <col min="8" max="8" width="4.28515625" style="5" customWidth="1"/>
    <col min="9" max="9" width="12.7109375" style="5" customWidth="1"/>
    <col min="10" max="10" width="6.7109375" style="5" customWidth="1"/>
    <col min="11" max="11" width="9.7109375" style="6" customWidth="1"/>
    <col min="12" max="35" width="9.7109375" style="5" customWidth="1"/>
    <col min="36" max="36" width="2.7109375" style="5" customWidth="1"/>
    <col min="37" max="16384" width="9.140625" style="5"/>
  </cols>
  <sheetData>
    <row r="1" spans="1:42" ht="12.75" customHeight="1" x14ac:dyDescent="0.2">
      <c r="A1" s="5">
        <v>1</v>
      </c>
      <c r="D1" s="2"/>
      <c r="E1" s="2"/>
      <c r="F1" s="3"/>
      <c r="G1" s="3" t="s">
        <v>6</v>
      </c>
      <c r="H1" s="3" t="s">
        <v>15</v>
      </c>
      <c r="I1" s="2" t="s">
        <v>14</v>
      </c>
      <c r="J1" s="1"/>
      <c r="K1" s="1"/>
      <c r="L1" s="1"/>
      <c r="M1" s="16"/>
      <c r="N1" s="1"/>
      <c r="O1" s="1"/>
      <c r="P1" s="1"/>
      <c r="Q1" s="16"/>
      <c r="R1" s="16"/>
      <c r="S1" s="16"/>
      <c r="T1" s="16"/>
      <c r="U1" s="16"/>
      <c r="V1" s="16"/>
      <c r="W1" s="1"/>
      <c r="X1" s="1"/>
      <c r="Y1" s="1"/>
      <c r="Z1" s="1"/>
      <c r="AA1" s="1"/>
      <c r="AB1" s="1"/>
      <c r="AC1" s="18"/>
      <c r="AD1" s="18"/>
      <c r="AE1" s="18"/>
      <c r="AF1" s="1"/>
      <c r="AG1" s="18"/>
      <c r="AH1" s="18"/>
      <c r="AI1" s="18"/>
    </row>
    <row r="2" spans="1:42" ht="12.75" customHeight="1" x14ac:dyDescent="0.2">
      <c r="D2" s="2"/>
      <c r="E2" s="2"/>
      <c r="F2" s="3"/>
      <c r="G2" s="3" t="s">
        <v>3</v>
      </c>
      <c r="H2" s="3" t="s">
        <v>16</v>
      </c>
      <c r="I2" s="2" t="s">
        <v>5</v>
      </c>
      <c r="J2" s="1"/>
      <c r="K2" s="1"/>
      <c r="L2" s="1"/>
      <c r="M2" s="16"/>
      <c r="N2" s="1"/>
      <c r="O2" s="1"/>
      <c r="P2" s="1"/>
      <c r="Q2" s="16"/>
      <c r="R2" s="16"/>
      <c r="S2" s="16"/>
      <c r="T2" s="16"/>
      <c r="U2" s="16"/>
      <c r="V2" s="16"/>
      <c r="W2" s="1"/>
      <c r="X2" s="1"/>
      <c r="Y2" s="1"/>
      <c r="Z2" s="1"/>
      <c r="AA2" s="1"/>
      <c r="AB2" s="1"/>
      <c r="AC2" s="18"/>
      <c r="AD2" s="18"/>
      <c r="AE2" s="18"/>
      <c r="AF2" s="1"/>
      <c r="AG2" s="18"/>
      <c r="AH2" s="18"/>
      <c r="AI2" s="18"/>
    </row>
    <row r="3" spans="1:42" ht="12.75" customHeight="1" x14ac:dyDescent="0.2">
      <c r="D3" s="2"/>
      <c r="E3" s="3"/>
      <c r="F3" s="3"/>
      <c r="G3" s="3"/>
      <c r="H3" s="3" t="s">
        <v>17</v>
      </c>
      <c r="I3" s="2" t="s">
        <v>4</v>
      </c>
      <c r="J3" s="1"/>
      <c r="K3" s="1"/>
      <c r="L3" s="1"/>
      <c r="M3" s="2"/>
      <c r="N3" s="1"/>
      <c r="O3" s="1"/>
      <c r="P3" s="1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8"/>
      <c r="AD3" s="18"/>
      <c r="AE3" s="18"/>
      <c r="AF3" s="1"/>
      <c r="AG3" s="18"/>
      <c r="AH3" s="18"/>
      <c r="AI3" s="18"/>
    </row>
    <row r="4" spans="1:42" ht="12.75" customHeight="1" x14ac:dyDescent="0.2">
      <c r="D4" s="2"/>
      <c r="E4" s="3"/>
      <c r="F4" s="4"/>
      <c r="G4" s="4"/>
      <c r="H4" s="3" t="s">
        <v>18</v>
      </c>
      <c r="I4" s="2" t="s">
        <v>12</v>
      </c>
      <c r="J4" s="1"/>
      <c r="K4" s="1"/>
      <c r="L4" s="1"/>
      <c r="M4" s="2"/>
      <c r="N4" s="1"/>
      <c r="O4" s="1"/>
      <c r="P4" s="1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AC4" s="18"/>
      <c r="AD4" s="18"/>
      <c r="AE4" s="18"/>
      <c r="AF4" s="1"/>
      <c r="AG4" s="18"/>
      <c r="AH4" s="18"/>
      <c r="AI4" s="18"/>
    </row>
    <row r="5" spans="1:42" ht="12.75" customHeight="1" x14ac:dyDescent="0.2">
      <c r="D5" s="2"/>
      <c r="E5" s="3"/>
      <c r="F5" s="4"/>
      <c r="G5" s="4"/>
      <c r="H5" s="3" t="s">
        <v>19</v>
      </c>
      <c r="I5" s="2" t="s">
        <v>13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7"/>
      <c r="X5" s="17"/>
      <c r="Y5" s="1"/>
      <c r="Z5" s="1"/>
      <c r="AA5" s="17"/>
      <c r="AB5" s="17"/>
      <c r="AC5" s="18"/>
      <c r="AD5" s="18"/>
      <c r="AE5" s="18"/>
      <c r="AF5" s="17"/>
      <c r="AG5" s="18"/>
      <c r="AH5" s="18"/>
      <c r="AI5" s="18"/>
    </row>
    <row r="6" spans="1:42" ht="12.75" customHeight="1" thickBot="1" x14ac:dyDescent="0.25"/>
    <row r="7" spans="1:42" ht="12.75" customHeight="1" thickBot="1" x14ac:dyDescent="0.25">
      <c r="B7" s="20" t="s">
        <v>9</v>
      </c>
      <c r="D7" s="396" t="str">
        <f>"SUBSUMMARY SHEET " &amp; B8</f>
        <v>SUBSUMMARY SHEET 24</v>
      </c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K7" s="25">
        <v>1</v>
      </c>
      <c r="AL7" s="26" t="s">
        <v>22</v>
      </c>
      <c r="AM7" s="27"/>
      <c r="AN7" s="27"/>
      <c r="AO7" s="27"/>
      <c r="AP7" s="27"/>
    </row>
    <row r="8" spans="1:42" ht="12.75" customHeight="1" thickBot="1" x14ac:dyDescent="0.25">
      <c r="B8" s="24">
        <v>24</v>
      </c>
      <c r="D8" s="309" t="s">
        <v>7</v>
      </c>
      <c r="E8" s="309"/>
      <c r="F8" s="309"/>
      <c r="G8" s="309"/>
      <c r="H8" s="309"/>
      <c r="I8" s="309"/>
      <c r="J8" s="309"/>
      <c r="K8" s="19"/>
      <c r="L8" s="19" t="s">
        <v>26</v>
      </c>
      <c r="M8" s="19" t="s">
        <v>27</v>
      </c>
      <c r="N8" s="19" t="s">
        <v>36</v>
      </c>
      <c r="O8" s="19" t="s">
        <v>36</v>
      </c>
      <c r="P8" s="19" t="s">
        <v>39</v>
      </c>
      <c r="Q8" s="19" t="s">
        <v>40</v>
      </c>
      <c r="R8" s="19" t="s">
        <v>42</v>
      </c>
      <c r="S8" s="19" t="s">
        <v>44</v>
      </c>
      <c r="T8" s="19" t="s">
        <v>47</v>
      </c>
      <c r="U8" s="19" t="s">
        <v>49</v>
      </c>
      <c r="V8" s="19" t="s">
        <v>52</v>
      </c>
      <c r="W8" s="19" t="s">
        <v>53</v>
      </c>
      <c r="X8" s="19" t="s">
        <v>55</v>
      </c>
      <c r="Y8" s="19" t="s">
        <v>57</v>
      </c>
      <c r="Z8" s="19" t="s">
        <v>63</v>
      </c>
      <c r="AA8" s="19" t="s">
        <v>65</v>
      </c>
      <c r="AB8" s="19" t="s">
        <v>70</v>
      </c>
      <c r="AC8" s="19" t="s">
        <v>71</v>
      </c>
      <c r="AD8" s="19" t="s">
        <v>72</v>
      </c>
      <c r="AE8" s="19" t="s">
        <v>73</v>
      </c>
      <c r="AF8" s="19" t="s">
        <v>28</v>
      </c>
      <c r="AG8" s="19" t="s">
        <v>29</v>
      </c>
      <c r="AH8" s="19" t="s">
        <v>30</v>
      </c>
      <c r="AI8" s="19" t="s">
        <v>31</v>
      </c>
    </row>
    <row r="9" spans="1:42" ht="12.75" customHeight="1" thickBot="1" x14ac:dyDescent="0.25">
      <c r="D9" s="310" t="s">
        <v>8</v>
      </c>
      <c r="E9" s="310"/>
      <c r="F9" s="310"/>
      <c r="G9" s="310"/>
      <c r="H9" s="310"/>
      <c r="I9" s="310"/>
      <c r="J9" s="31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1:42" ht="12.75" customHeight="1" x14ac:dyDescent="0.2">
      <c r="B10" s="250" t="s">
        <v>10</v>
      </c>
      <c r="D10" s="360" t="s">
        <v>20</v>
      </c>
      <c r="E10" s="360" t="s">
        <v>21</v>
      </c>
      <c r="F10" s="363" t="s">
        <v>0</v>
      </c>
      <c r="G10" s="364"/>
      <c r="H10" s="364"/>
      <c r="I10" s="364"/>
      <c r="J10" s="407"/>
      <c r="K10" s="372" t="s">
        <v>23</v>
      </c>
      <c r="L10" s="7" t="str">
        <f>IF(OR(TRIM(L8)=0,TRIM(L8)=""),"",IF(IFERROR(TRIM(INDEX(QryItemNamed,MATCH(TRIM(L8),ITEM,0),2)),"")="Y","SPECIAL",LEFT(IFERROR(TRIM(INDEX(ITEM,MATCH(TRIM(L8),ITEM,0))),""),3)))</f>
        <v>621</v>
      </c>
      <c r="M10" s="7" t="str">
        <f>IF(OR(TRIM(M8)=0,TRIM(M8)=""),"",IF(IFERROR(TRIM(INDEX(QryItemNamed,MATCH(TRIM(M8),ITEM,0),2)),"")="Y","SPECIAL",LEFT(IFERROR(TRIM(INDEX(ITEM,MATCH(TRIM(M8),ITEM,0))),""),3)))</f>
        <v>621</v>
      </c>
      <c r="N10" s="7">
        <v>644</v>
      </c>
      <c r="O10" s="7">
        <v>644</v>
      </c>
      <c r="P10" s="7">
        <v>644</v>
      </c>
      <c r="Q10" s="7">
        <v>644</v>
      </c>
      <c r="R10" s="7">
        <v>644</v>
      </c>
      <c r="S10" s="7">
        <v>644</v>
      </c>
      <c r="T10" s="7">
        <v>644</v>
      </c>
      <c r="U10" s="7">
        <v>644</v>
      </c>
      <c r="V10" s="7" t="str">
        <f>IF(OR(TRIM(V8)=0,TRIM(V8)=""),"",IF(IFERROR(TRIM(INDEX(QryItemNamed,MATCH(TRIM(V8),ITEM,0),2)),"")="Y","SPECIAL",LEFT(IFERROR(TRIM(INDEX(ITEM,MATCH(TRIM(V8),ITEM,0))),""),3)))</f>
        <v>644</v>
      </c>
      <c r="W10" s="7">
        <v>644</v>
      </c>
      <c r="X10" s="7">
        <v>644</v>
      </c>
      <c r="Y10" s="7">
        <v>644</v>
      </c>
      <c r="Z10" s="7">
        <v>644</v>
      </c>
      <c r="AA10" s="7">
        <v>644</v>
      </c>
      <c r="AB10" s="7">
        <v>618</v>
      </c>
      <c r="AC10" s="7" t="str">
        <f t="shared" ref="AC10:AI10" si="0">IF(OR(TRIM(AC8)=0,TRIM(AC8)=""),"",IF(IFERROR(TRIM(INDEX(QryItemNamed,MATCH(TRIM(AC8),ITEM,0),2)),"")="Y","SPECIAL",LEFT(IFERROR(TRIM(INDEX(ITEM,MATCH(TRIM(AC8),ITEM,0))),""),3)))</f>
        <v>618</v>
      </c>
      <c r="AD10" s="7" t="str">
        <f t="shared" si="0"/>
        <v>618</v>
      </c>
      <c r="AE10" s="7" t="str">
        <f t="shared" si="0"/>
        <v>618</v>
      </c>
      <c r="AF10" s="7" t="str">
        <f t="shared" si="0"/>
        <v>630</v>
      </c>
      <c r="AG10" s="7" t="str">
        <f t="shared" si="0"/>
        <v>630</v>
      </c>
      <c r="AH10" s="7" t="str">
        <f t="shared" si="0"/>
        <v>630</v>
      </c>
      <c r="AI10" s="7" t="str">
        <f t="shared" si="0"/>
        <v>630</v>
      </c>
    </row>
    <row r="11" spans="1:42" ht="12.75" customHeight="1" x14ac:dyDescent="0.2">
      <c r="B11" s="251"/>
      <c r="D11" s="361"/>
      <c r="E11" s="361"/>
      <c r="F11" s="366"/>
      <c r="G11" s="367"/>
      <c r="H11" s="367"/>
      <c r="I11" s="367"/>
      <c r="J11" s="408"/>
      <c r="K11" s="373"/>
      <c r="L11" s="375" t="str">
        <f>IF(OR(TRIM(L8)=0,TRIM(L8)=""),IF(L9="","",L9),IF(IFERROR(TRIM(INDEX(QryItemNamed,MATCH(TRIM(L8),ITEM,0),2)),"")="Y",TRIM(RIGHT(IFERROR(TRIM(INDEX(QryItemNamed,MATCH(TRIM(L8),ITEM,0),4)),"123456789012"),LEN(IFERROR(TRIM(INDEX(QryItemNamed,MATCH(TRIM(L8),ITEM,0),4)),"123456789012"))-9))&amp;L9,IFERROR(TRIM(INDEX(QryItemNamed,MATCH(TRIM(L8),ITEM,0),4))&amp;L9,"ITEM CODE DOES NOT EXIST IN ITEM MASTER")))</f>
        <v>RPM</v>
      </c>
      <c r="M11" s="378" t="str">
        <f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RAISED PAVEMENT MARKER REMOVED</v>
      </c>
      <c r="N11" s="381" t="s">
        <v>37</v>
      </c>
      <c r="O11" s="381" t="s">
        <v>38</v>
      </c>
      <c r="P11" s="381" t="s">
        <v>32</v>
      </c>
      <c r="Q11" s="381" t="s">
        <v>41</v>
      </c>
      <c r="R11" s="381" t="s">
        <v>43</v>
      </c>
      <c r="S11" s="381" t="s">
        <v>45</v>
      </c>
      <c r="T11" s="381" t="s">
        <v>48</v>
      </c>
      <c r="U11" s="381" t="s">
        <v>50</v>
      </c>
      <c r="V11" s="381" t="str">
        <f>IF(OR(TRIM(V8)=0,TRIM(V8)=""),IF(V9="","",V9),IF(IFERROR(TRIM(INDEX(QryItemNamed,MATCH(TRIM(V8),ITEM,0),2)),"")="Y",TRIM(RIGHT(IFERROR(TRIM(INDEX(QryItemNamed,MATCH(TRIM(V8),ITEM,0),4)),"123456789012"),LEN(IFERROR(TRIM(INDEX(QryItemNamed,MATCH(TRIM(V8),ITEM,0),4)),"123456789012"))-9))&amp;V9,IFERROR(TRIM(INDEX(QryItemNamed,MATCH(TRIM(V8),ITEM,0),4))&amp;V9,"ITEM CODE DOES NOT EXIST IN ITEM MASTER")))</f>
        <v>LANE ARROW</v>
      </c>
      <c r="W11" s="381" t="s">
        <v>54</v>
      </c>
      <c r="X11" s="381" t="s">
        <v>56</v>
      </c>
      <c r="Y11" s="381" t="s">
        <v>58</v>
      </c>
      <c r="Z11" s="382" t="s">
        <v>64</v>
      </c>
      <c r="AA11" s="383" t="s">
        <v>66</v>
      </c>
      <c r="AB11" s="382" t="s">
        <v>74</v>
      </c>
      <c r="AC11" s="381" t="str">
        <f t="shared" ref="AC11:AI11" si="1">IF(OR(TRIM(AC8)=0,TRIM(AC8)=""),IF(AC9="","",AC9),IF(IFERROR(TRIM(INDEX(QryItemNamed,MATCH(TRIM(AC8),ITEM,0),2)),"")="Y",TRIM(RIGHT(IFERROR(TRIM(INDEX(QryItemNamed,MATCH(TRIM(AC8),ITEM,0),4)),"123456789012"),LEN(IFERROR(TRIM(INDEX(QryItemNamed,MATCH(TRIM(AC8),ITEM,0),4)),"123456789012"))-9))&amp;AC9,IFERROR(TRIM(INDEX(QryItemNamed,MATCH(TRIM(AC8),ITEM,0),4))&amp;AC9,"ITEM CODE DOES NOT EXIST IN ITEM MASTER")))</f>
        <v>RUMBLE STRIPES, EDGE LINE (CONCRETE)</v>
      </c>
      <c r="AD11" s="381" t="str">
        <f t="shared" si="1"/>
        <v>RUMBLE STRIPES, CENTER LINE (ASPHALT CONCRETE)</v>
      </c>
      <c r="AE11" s="381" t="str">
        <f t="shared" si="1"/>
        <v>RUMBLE STRIPES, CENTER LINE (CONCRETE)</v>
      </c>
      <c r="AF11" s="381" t="str">
        <f t="shared" si="1"/>
        <v>GROUND MOUNTED SUPPORT, NO. 3 POST</v>
      </c>
      <c r="AG11" s="381" t="str">
        <f t="shared" si="1"/>
        <v>SIGN, FLAT SHEET</v>
      </c>
      <c r="AH11" s="381" t="str">
        <f t="shared" si="1"/>
        <v>REMOVAL OF GROUND MOUNTED SIGN AND DISPOSAL</v>
      </c>
      <c r="AI11" s="381" t="str">
        <f t="shared" si="1"/>
        <v>REMOVAL OF GROUND MOUNTED POST SUPPORT AND DISPOSAL</v>
      </c>
    </row>
    <row r="12" spans="1:42" ht="12.75" customHeight="1" x14ac:dyDescent="0.2">
      <c r="B12" s="251"/>
      <c r="D12" s="361"/>
      <c r="E12" s="361"/>
      <c r="F12" s="366"/>
      <c r="G12" s="367"/>
      <c r="H12" s="367"/>
      <c r="I12" s="367"/>
      <c r="J12" s="408"/>
      <c r="K12" s="373"/>
      <c r="L12" s="376"/>
      <c r="M12" s="379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2"/>
      <c r="AA12" s="384"/>
      <c r="AB12" s="382"/>
      <c r="AC12" s="381"/>
      <c r="AD12" s="381"/>
      <c r="AE12" s="381"/>
      <c r="AF12" s="381"/>
      <c r="AG12" s="381"/>
      <c r="AH12" s="381"/>
      <c r="AI12" s="381"/>
    </row>
    <row r="13" spans="1:42" ht="12.75" customHeight="1" x14ac:dyDescent="0.2">
      <c r="B13" s="251"/>
      <c r="D13" s="361"/>
      <c r="E13" s="361"/>
      <c r="F13" s="366"/>
      <c r="G13" s="367"/>
      <c r="H13" s="367"/>
      <c r="I13" s="367"/>
      <c r="J13" s="408"/>
      <c r="K13" s="373"/>
      <c r="L13" s="376"/>
      <c r="M13" s="379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2"/>
      <c r="AA13" s="384"/>
      <c r="AB13" s="382"/>
      <c r="AC13" s="381"/>
      <c r="AD13" s="381"/>
      <c r="AE13" s="381"/>
      <c r="AF13" s="381"/>
      <c r="AG13" s="381"/>
      <c r="AH13" s="381"/>
      <c r="AI13" s="381"/>
    </row>
    <row r="14" spans="1:42" ht="12.75" customHeight="1" x14ac:dyDescent="0.2">
      <c r="B14" s="251"/>
      <c r="D14" s="361"/>
      <c r="E14" s="361"/>
      <c r="F14" s="366"/>
      <c r="G14" s="367"/>
      <c r="H14" s="367"/>
      <c r="I14" s="367"/>
      <c r="J14" s="408"/>
      <c r="K14" s="373"/>
      <c r="L14" s="376"/>
      <c r="M14" s="379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2"/>
      <c r="AA14" s="384"/>
      <c r="AB14" s="382"/>
      <c r="AC14" s="381"/>
      <c r="AD14" s="381"/>
      <c r="AE14" s="381"/>
      <c r="AF14" s="381"/>
      <c r="AG14" s="381"/>
      <c r="AH14" s="381"/>
      <c r="AI14" s="381"/>
    </row>
    <row r="15" spans="1:42" ht="12.75" customHeight="1" x14ac:dyDescent="0.2">
      <c r="B15" s="251"/>
      <c r="D15" s="361"/>
      <c r="E15" s="361"/>
      <c r="F15" s="366"/>
      <c r="G15" s="367"/>
      <c r="H15" s="367"/>
      <c r="I15" s="367"/>
      <c r="J15" s="408"/>
      <c r="K15" s="373"/>
      <c r="L15" s="376"/>
      <c r="M15" s="379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2"/>
      <c r="AA15" s="384"/>
      <c r="AB15" s="382"/>
      <c r="AC15" s="381"/>
      <c r="AD15" s="381"/>
      <c r="AE15" s="381"/>
      <c r="AF15" s="381"/>
      <c r="AG15" s="381"/>
      <c r="AH15" s="381"/>
      <c r="AI15" s="381"/>
    </row>
    <row r="16" spans="1:42" ht="12.75" customHeight="1" x14ac:dyDescent="0.2">
      <c r="B16" s="251"/>
      <c r="D16" s="361"/>
      <c r="E16" s="361"/>
      <c r="F16" s="366"/>
      <c r="G16" s="367"/>
      <c r="H16" s="367"/>
      <c r="I16" s="367"/>
      <c r="J16" s="408"/>
      <c r="K16" s="373"/>
      <c r="L16" s="376"/>
      <c r="M16" s="379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2"/>
      <c r="AA16" s="384"/>
      <c r="AB16" s="382"/>
      <c r="AC16" s="381"/>
      <c r="AD16" s="381"/>
      <c r="AE16" s="381"/>
      <c r="AF16" s="381"/>
      <c r="AG16" s="381"/>
      <c r="AH16" s="381"/>
      <c r="AI16" s="381"/>
    </row>
    <row r="17" spans="2:35" ht="12.75" customHeight="1" x14ac:dyDescent="0.2">
      <c r="B17" s="251"/>
      <c r="D17" s="361"/>
      <c r="E17" s="361"/>
      <c r="F17" s="366"/>
      <c r="G17" s="367"/>
      <c r="H17" s="367"/>
      <c r="I17" s="367"/>
      <c r="J17" s="408"/>
      <c r="K17" s="373"/>
      <c r="L17" s="376"/>
      <c r="M17" s="379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2"/>
      <c r="AA17" s="384"/>
      <c r="AB17" s="382"/>
      <c r="AC17" s="381"/>
      <c r="AD17" s="381"/>
      <c r="AE17" s="381"/>
      <c r="AF17" s="381"/>
      <c r="AG17" s="381"/>
      <c r="AH17" s="381"/>
      <c r="AI17" s="381"/>
    </row>
    <row r="18" spans="2:35" ht="12.75" customHeight="1" x14ac:dyDescent="0.2">
      <c r="B18" s="251"/>
      <c r="D18" s="361"/>
      <c r="E18" s="361"/>
      <c r="F18" s="366"/>
      <c r="G18" s="367"/>
      <c r="H18" s="367"/>
      <c r="I18" s="367"/>
      <c r="J18" s="408"/>
      <c r="K18" s="373"/>
      <c r="L18" s="376"/>
      <c r="M18" s="379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2"/>
      <c r="AA18" s="384"/>
      <c r="AB18" s="382"/>
      <c r="AC18" s="381"/>
      <c r="AD18" s="381"/>
      <c r="AE18" s="381"/>
      <c r="AF18" s="381"/>
      <c r="AG18" s="381"/>
      <c r="AH18" s="381"/>
      <c r="AI18" s="381"/>
    </row>
    <row r="19" spans="2:35" ht="12.75" customHeight="1" x14ac:dyDescent="0.2">
      <c r="B19" s="251"/>
      <c r="D19" s="361"/>
      <c r="E19" s="361"/>
      <c r="F19" s="366"/>
      <c r="G19" s="367"/>
      <c r="H19" s="367"/>
      <c r="I19" s="367"/>
      <c r="J19" s="408"/>
      <c r="K19" s="373"/>
      <c r="L19" s="376"/>
      <c r="M19" s="379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2"/>
      <c r="AA19" s="384"/>
      <c r="AB19" s="382"/>
      <c r="AC19" s="381"/>
      <c r="AD19" s="381"/>
      <c r="AE19" s="381"/>
      <c r="AF19" s="381"/>
      <c r="AG19" s="381"/>
      <c r="AH19" s="381"/>
      <c r="AI19" s="381"/>
    </row>
    <row r="20" spans="2:35" ht="12.75" customHeight="1" x14ac:dyDescent="0.2">
      <c r="B20" s="251"/>
      <c r="D20" s="361"/>
      <c r="E20" s="361"/>
      <c r="F20" s="366"/>
      <c r="G20" s="367"/>
      <c r="H20" s="367"/>
      <c r="I20" s="367"/>
      <c r="J20" s="408"/>
      <c r="K20" s="373"/>
      <c r="L20" s="376"/>
      <c r="M20" s="379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2"/>
      <c r="AA20" s="384"/>
      <c r="AB20" s="382"/>
      <c r="AC20" s="381"/>
      <c r="AD20" s="381"/>
      <c r="AE20" s="381"/>
      <c r="AF20" s="381"/>
      <c r="AG20" s="381"/>
      <c r="AH20" s="381"/>
      <c r="AI20" s="381"/>
    </row>
    <row r="21" spans="2:35" ht="12.75" customHeight="1" x14ac:dyDescent="0.2">
      <c r="B21" s="251"/>
      <c r="D21" s="361"/>
      <c r="E21" s="361"/>
      <c r="F21" s="366"/>
      <c r="G21" s="367"/>
      <c r="H21" s="367"/>
      <c r="I21" s="367"/>
      <c r="J21" s="408"/>
      <c r="K21" s="373"/>
      <c r="L21" s="376"/>
      <c r="M21" s="379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2"/>
      <c r="AA21" s="384"/>
      <c r="AB21" s="382"/>
      <c r="AC21" s="381"/>
      <c r="AD21" s="381"/>
      <c r="AE21" s="381"/>
      <c r="AF21" s="381"/>
      <c r="AG21" s="381"/>
      <c r="AH21" s="381"/>
      <c r="AI21" s="381"/>
    </row>
    <row r="22" spans="2:35" ht="12.75" customHeight="1" x14ac:dyDescent="0.2">
      <c r="B22" s="251"/>
      <c r="D22" s="361"/>
      <c r="E22" s="361"/>
      <c r="F22" s="366"/>
      <c r="G22" s="367"/>
      <c r="H22" s="367"/>
      <c r="I22" s="367"/>
      <c r="J22" s="408"/>
      <c r="K22" s="373"/>
      <c r="L22" s="377"/>
      <c r="M22" s="380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2"/>
      <c r="AA22" s="385"/>
      <c r="AB22" s="382"/>
      <c r="AC22" s="381"/>
      <c r="AD22" s="381"/>
      <c r="AE22" s="381"/>
      <c r="AF22" s="381"/>
      <c r="AG22" s="381"/>
      <c r="AH22" s="381"/>
      <c r="AI22" s="381"/>
    </row>
    <row r="23" spans="2:35" ht="12.75" customHeight="1" thickBot="1" x14ac:dyDescent="0.25">
      <c r="B23" s="252"/>
      <c r="D23" s="362"/>
      <c r="E23" s="362"/>
      <c r="F23" s="369"/>
      <c r="G23" s="370"/>
      <c r="H23" s="370"/>
      <c r="I23" s="370"/>
      <c r="J23" s="409"/>
      <c r="K23" s="374"/>
      <c r="L23" s="8" t="str">
        <f t="shared" ref="L23:AI23" si="2">IF(OR(TRIM(L8)=0,TRIM(L8)=""),"",IFERROR(TRIM(INDEX(QryItemNamed,MATCH(TRIM(L8),ITEM,0),3)),""))</f>
        <v>EACH</v>
      </c>
      <c r="M23" s="8" t="str">
        <f t="shared" si="2"/>
        <v>EACH</v>
      </c>
      <c r="N23" s="8" t="str">
        <f t="shared" si="2"/>
        <v>MILE</v>
      </c>
      <c r="O23" s="8" t="str">
        <f t="shared" si="2"/>
        <v>MILE</v>
      </c>
      <c r="P23" s="8" t="str">
        <f t="shared" si="2"/>
        <v>MILE</v>
      </c>
      <c r="Q23" s="8" t="str">
        <f t="shared" si="2"/>
        <v>FT</v>
      </c>
      <c r="R23" s="8" t="str">
        <f t="shared" si="2"/>
        <v>FT</v>
      </c>
      <c r="S23" s="8" t="s">
        <v>46</v>
      </c>
      <c r="T23" s="8" t="s">
        <v>46</v>
      </c>
      <c r="U23" s="8" t="s">
        <v>51</v>
      </c>
      <c r="V23" s="8" t="str">
        <f t="shared" si="2"/>
        <v>EACH</v>
      </c>
      <c r="W23" s="8" t="s">
        <v>51</v>
      </c>
      <c r="X23" s="8" t="str">
        <f t="shared" si="2"/>
        <v>FT</v>
      </c>
      <c r="Y23" s="8" t="str">
        <f t="shared" si="2"/>
        <v>FT</v>
      </c>
      <c r="Z23" s="8" t="str">
        <f t="shared" si="2"/>
        <v>FT</v>
      </c>
      <c r="AA23" s="8" t="str">
        <f t="shared" si="2"/>
        <v>EACH</v>
      </c>
      <c r="AB23" s="8" t="str">
        <f>IF(OR(TRIM(AB8)=0,TRIM(AB8)=""),"",IFERROR(TRIM(INDEX(QryItemNamed,MATCH(TRIM(AB8),ITEM,0),3)),""))</f>
        <v>MILE</v>
      </c>
      <c r="AC23" s="8" t="str">
        <f>IF(OR(TRIM(AC8)=0,TRIM(AC8)=""),"",IFERROR(TRIM(INDEX(QryItemNamed,MATCH(TRIM(AC8),ITEM,0),3)),""))</f>
        <v>MILE</v>
      </c>
      <c r="AD23" s="8" t="str">
        <f>IF(OR(TRIM(AD8)=0,TRIM(AD8)=""),"",IFERROR(TRIM(INDEX(QryItemNamed,MATCH(TRIM(AD8),ITEM,0),3)),""))</f>
        <v>MILE</v>
      </c>
      <c r="AE23" s="8" t="str">
        <f>IF(OR(TRIM(AE8)=0,TRIM(AE8)=""),"",IFERROR(TRIM(INDEX(QryItemNamed,MATCH(TRIM(AE8),ITEM,0),3)),""))</f>
        <v>MILE</v>
      </c>
      <c r="AF23" s="8" t="str">
        <f t="shared" si="2"/>
        <v>FT</v>
      </c>
      <c r="AG23" s="8" t="str">
        <f t="shared" si="2"/>
        <v>SF</v>
      </c>
      <c r="AH23" s="8" t="str">
        <f t="shared" si="2"/>
        <v>EACH</v>
      </c>
      <c r="AI23" s="8" t="str">
        <f t="shared" si="2"/>
        <v>EACH</v>
      </c>
    </row>
    <row r="24" spans="2:35" ht="12.75" customHeight="1" x14ac:dyDescent="0.2">
      <c r="B24" s="21"/>
      <c r="D24" s="9"/>
      <c r="E24" s="9"/>
      <c r="F24" s="399" t="s">
        <v>33</v>
      </c>
      <c r="G24" s="400"/>
      <c r="H24" s="9" t="s">
        <v>1</v>
      </c>
      <c r="I24" s="399" t="s">
        <v>34</v>
      </c>
      <c r="J24" s="400"/>
      <c r="K24" s="30"/>
      <c r="L24" s="10"/>
      <c r="M24" s="9"/>
      <c r="N24" s="34"/>
      <c r="O24" s="34"/>
      <c r="P24" s="34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2.75" customHeight="1" x14ac:dyDescent="0.2">
      <c r="B25" s="22">
        <v>1</v>
      </c>
      <c r="D25" s="11" t="s">
        <v>151</v>
      </c>
      <c r="E25" s="11">
        <v>1</v>
      </c>
      <c r="F25" s="397">
        <v>59864</v>
      </c>
      <c r="G25" s="398"/>
      <c r="H25" s="11"/>
      <c r="I25" s="337">
        <v>60250</v>
      </c>
      <c r="J25" s="339"/>
      <c r="K25" s="31" t="s">
        <v>24</v>
      </c>
      <c r="L25" s="53"/>
      <c r="M25" s="53"/>
      <c r="N25" s="35">
        <f>(I25-F25)/5280</f>
        <v>7.3106060606060605E-2</v>
      </c>
      <c r="O25" s="35"/>
      <c r="P25" s="35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2:35" ht="12.75" customHeight="1" x14ac:dyDescent="0.2">
      <c r="B26" s="22">
        <v>1</v>
      </c>
      <c r="D26" s="11" t="s">
        <v>152</v>
      </c>
      <c r="E26" s="11">
        <v>1</v>
      </c>
      <c r="F26" s="397">
        <v>59864</v>
      </c>
      <c r="G26" s="398"/>
      <c r="H26" s="11"/>
      <c r="I26" s="337">
        <v>60250</v>
      </c>
      <c r="J26" s="339"/>
      <c r="K26" s="31" t="s">
        <v>25</v>
      </c>
      <c r="L26" s="13"/>
      <c r="M26" s="53"/>
      <c r="N26" s="35">
        <f>(I26-F26)/5280</f>
        <v>7.3106060606060605E-2</v>
      </c>
      <c r="O26" s="35"/>
      <c r="P26" s="35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2:35" ht="12.75" customHeight="1" x14ac:dyDescent="0.2">
      <c r="B27" s="22">
        <v>1</v>
      </c>
      <c r="D27" s="11" t="s">
        <v>148</v>
      </c>
      <c r="E27" s="11">
        <v>1</v>
      </c>
      <c r="F27" s="397">
        <v>59864</v>
      </c>
      <c r="G27" s="398"/>
      <c r="H27" s="11"/>
      <c r="I27" s="337">
        <v>59885</v>
      </c>
      <c r="J27" s="339"/>
      <c r="K27" s="31" t="s">
        <v>25</v>
      </c>
      <c r="L27" s="13"/>
      <c r="M27" s="54"/>
      <c r="N27" s="35"/>
      <c r="O27" s="35"/>
      <c r="P27" s="35">
        <f>(I27-F27)/5280</f>
        <v>3.9772727272727269E-3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2:35" ht="12.75" customHeight="1" x14ac:dyDescent="0.2">
      <c r="B28" s="22">
        <v>1</v>
      </c>
      <c r="D28" s="11" t="s">
        <v>149</v>
      </c>
      <c r="E28" s="11">
        <v>1</v>
      </c>
      <c r="F28" s="397">
        <v>59995</v>
      </c>
      <c r="G28" s="398"/>
      <c r="H28" s="11"/>
      <c r="I28" s="337">
        <v>60250</v>
      </c>
      <c r="J28" s="339"/>
      <c r="K28" s="31" t="s">
        <v>25</v>
      </c>
      <c r="L28" s="13"/>
      <c r="M28" s="54">
        <f>ROUNDUP((I28-F28)/80,0)</f>
        <v>4</v>
      </c>
      <c r="N28" s="35"/>
      <c r="O28" s="35"/>
      <c r="P28" s="35">
        <f>(I28-F28)/5280</f>
        <v>4.8295454545454544E-2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2:35" ht="12.75" customHeight="1" x14ac:dyDescent="0.2">
      <c r="B29" s="22"/>
      <c r="D29" s="11" t="s">
        <v>569</v>
      </c>
      <c r="E29" s="11">
        <v>1</v>
      </c>
      <c r="F29" s="397">
        <v>59995</v>
      </c>
      <c r="G29" s="398"/>
      <c r="H29" s="11"/>
      <c r="I29" s="337">
        <v>60250</v>
      </c>
      <c r="J29" s="339"/>
      <c r="K29" s="31" t="s">
        <v>25</v>
      </c>
      <c r="L29" s="53">
        <f>ROUNDUP((I29-F29)/80,0)</f>
        <v>4</v>
      </c>
      <c r="M29" s="54"/>
      <c r="N29" s="35"/>
      <c r="O29" s="35"/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2:35" ht="12.6" customHeight="1" x14ac:dyDescent="0.2">
      <c r="B30" s="22"/>
      <c r="D30" s="11" t="s">
        <v>150</v>
      </c>
      <c r="E30" s="11">
        <v>1</v>
      </c>
      <c r="F30" s="397">
        <v>59995</v>
      </c>
      <c r="G30" s="398"/>
      <c r="H30" s="11"/>
      <c r="I30" s="337">
        <v>60250</v>
      </c>
      <c r="J30" s="339"/>
      <c r="K30" s="31" t="s">
        <v>24</v>
      </c>
      <c r="L30" s="13"/>
      <c r="M30" s="54">
        <f>ROUNDUP((I30-F30)/80,0)</f>
        <v>4</v>
      </c>
      <c r="N30" s="35"/>
      <c r="O30" s="35"/>
      <c r="P30" s="35">
        <f>(I30-F30)/5280</f>
        <v>4.8295454545454544E-2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2:35" ht="12.6" customHeight="1" x14ac:dyDescent="0.2">
      <c r="B31" s="22"/>
      <c r="D31" s="11" t="s">
        <v>570</v>
      </c>
      <c r="E31" s="11">
        <v>1</v>
      </c>
      <c r="F31" s="397">
        <v>59995</v>
      </c>
      <c r="G31" s="398"/>
      <c r="H31" s="11"/>
      <c r="I31" s="337">
        <v>60250</v>
      </c>
      <c r="J31" s="339"/>
      <c r="K31" s="31" t="s">
        <v>24</v>
      </c>
      <c r="L31" s="53">
        <f>ROUNDUP((I31-F31)/80,0)</f>
        <v>4</v>
      </c>
      <c r="M31" s="54"/>
      <c r="N31" s="35"/>
      <c r="O31" s="35"/>
      <c r="P31" s="35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2:35" ht="12.75" customHeight="1" x14ac:dyDescent="0.2">
      <c r="B32" s="22">
        <v>1</v>
      </c>
      <c r="D32" s="11" t="s">
        <v>153</v>
      </c>
      <c r="E32" s="11">
        <v>1</v>
      </c>
      <c r="F32" s="405"/>
      <c r="G32" s="406"/>
      <c r="H32" s="11"/>
      <c r="I32" s="394"/>
      <c r="J32" s="395"/>
      <c r="K32" s="31" t="s">
        <v>25</v>
      </c>
      <c r="L32" s="13"/>
      <c r="M32" s="11"/>
      <c r="N32" s="35"/>
      <c r="O32" s="35"/>
      <c r="P32" s="35"/>
      <c r="Q32" s="11"/>
      <c r="R32" s="11"/>
      <c r="S32" s="11">
        <f>65+76</f>
        <v>141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2:35" ht="12.75" customHeight="1" x14ac:dyDescent="0.2">
      <c r="B33" s="22">
        <v>1</v>
      </c>
      <c r="D33" s="11" t="s">
        <v>154</v>
      </c>
      <c r="E33" s="11">
        <v>1</v>
      </c>
      <c r="F33" s="397">
        <v>59995</v>
      </c>
      <c r="G33" s="398"/>
      <c r="H33" s="11"/>
      <c r="I33" s="337">
        <v>60250</v>
      </c>
      <c r="J33" s="339"/>
      <c r="K33" s="31" t="s">
        <v>25</v>
      </c>
      <c r="L33" s="13"/>
      <c r="M33" s="11"/>
      <c r="N33" s="35"/>
      <c r="O33" s="35"/>
      <c r="P33" s="35"/>
      <c r="Q33" s="11"/>
      <c r="R33" s="11"/>
      <c r="S33" s="11"/>
      <c r="T33" s="11">
        <f>16+15+15+15+15+14+14+13+12</f>
        <v>129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2:35" ht="12.75" customHeight="1" x14ac:dyDescent="0.2">
      <c r="B34" s="22">
        <v>1</v>
      </c>
      <c r="D34" s="11" t="s">
        <v>155</v>
      </c>
      <c r="E34" s="11">
        <v>2</v>
      </c>
      <c r="F34" s="403">
        <v>60250</v>
      </c>
      <c r="G34" s="404"/>
      <c r="H34" s="11"/>
      <c r="I34" s="337">
        <v>60750</v>
      </c>
      <c r="J34" s="339"/>
      <c r="K34" s="31" t="s">
        <v>24</v>
      </c>
      <c r="L34" s="13"/>
      <c r="M34" s="11"/>
      <c r="N34" s="35">
        <f>(I34-F34)/5280</f>
        <v>9.4696969696969696E-2</v>
      </c>
      <c r="O34" s="35"/>
      <c r="P34" s="35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2:35" ht="12.75" customHeight="1" x14ac:dyDescent="0.2">
      <c r="B35" s="22">
        <v>1</v>
      </c>
      <c r="D35" s="11" t="s">
        <v>156</v>
      </c>
      <c r="E35" s="11">
        <v>2</v>
      </c>
      <c r="F35" s="403">
        <v>60250</v>
      </c>
      <c r="G35" s="404"/>
      <c r="H35" s="11"/>
      <c r="I35" s="337">
        <v>60750</v>
      </c>
      <c r="J35" s="339"/>
      <c r="K35" s="31" t="s">
        <v>25</v>
      </c>
      <c r="L35" s="13"/>
      <c r="M35" s="11"/>
      <c r="N35" s="35">
        <f>(I35-F35)/5280</f>
        <v>9.4696969696969696E-2</v>
      </c>
      <c r="O35" s="35"/>
      <c r="P35" s="35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2:35" ht="12.75" customHeight="1" x14ac:dyDescent="0.2">
      <c r="B36" s="22">
        <v>1</v>
      </c>
      <c r="D36" s="11" t="s">
        <v>157</v>
      </c>
      <c r="E36" s="11">
        <v>2</v>
      </c>
      <c r="F36" s="397">
        <v>60725</v>
      </c>
      <c r="G36" s="398"/>
      <c r="H36" s="11"/>
      <c r="I36" s="337">
        <v>60750</v>
      </c>
      <c r="J36" s="339"/>
      <c r="K36" s="31" t="s">
        <v>25</v>
      </c>
      <c r="L36" s="13"/>
      <c r="M36" s="11"/>
      <c r="N36" s="35">
        <f>(I36-F36)/5280</f>
        <v>4.734848484848485E-3</v>
      </c>
      <c r="O36" s="35"/>
      <c r="P36" s="35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2:35" ht="12.75" customHeight="1" x14ac:dyDescent="0.2">
      <c r="B37" s="22">
        <v>1</v>
      </c>
      <c r="D37" s="11" t="s">
        <v>158</v>
      </c>
      <c r="E37" s="11">
        <v>2</v>
      </c>
      <c r="F37" s="403">
        <v>60250</v>
      </c>
      <c r="G37" s="404"/>
      <c r="H37" s="11"/>
      <c r="I37" s="337">
        <v>60750</v>
      </c>
      <c r="J37" s="339"/>
      <c r="K37" s="31" t="s">
        <v>24</v>
      </c>
      <c r="L37" s="13"/>
      <c r="M37" s="54">
        <f>ROUNDUP((I37-F37)/80,0)</f>
        <v>7</v>
      </c>
      <c r="N37" s="35"/>
      <c r="O37" s="35"/>
      <c r="P37" s="35">
        <f>(I37-F37)/5280</f>
        <v>9.4696969696969696E-2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ht="12.75" customHeight="1" x14ac:dyDescent="0.2">
      <c r="B38" s="22"/>
      <c r="D38" s="11" t="s">
        <v>571</v>
      </c>
      <c r="E38" s="11">
        <v>2</v>
      </c>
      <c r="F38" s="403">
        <v>60250</v>
      </c>
      <c r="G38" s="404"/>
      <c r="H38" s="11"/>
      <c r="I38" s="337">
        <v>60750</v>
      </c>
      <c r="J38" s="339"/>
      <c r="K38" s="31" t="s">
        <v>24</v>
      </c>
      <c r="L38" s="53">
        <f>ROUNDUP((I38-F38)/80,0)</f>
        <v>7</v>
      </c>
      <c r="M38" s="11"/>
      <c r="N38" s="35"/>
      <c r="O38" s="35"/>
      <c r="P38" s="35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ht="12.75" customHeight="1" x14ac:dyDescent="0.2">
      <c r="B39" s="22">
        <v>1</v>
      </c>
      <c r="D39" s="11" t="s">
        <v>159</v>
      </c>
      <c r="E39" s="11">
        <v>2</v>
      </c>
      <c r="F39" s="403">
        <v>60250</v>
      </c>
      <c r="G39" s="404"/>
      <c r="H39" s="11"/>
      <c r="I39" s="337">
        <v>60750</v>
      </c>
      <c r="J39" s="339"/>
      <c r="K39" s="31" t="s">
        <v>25</v>
      </c>
      <c r="L39" s="13"/>
      <c r="M39" s="54">
        <f>ROUNDUP((I39-F39)/80,0)</f>
        <v>7</v>
      </c>
      <c r="N39" s="35"/>
      <c r="O39" s="35"/>
      <c r="P39" s="35">
        <f>(I39-F39)/5280</f>
        <v>9.4696969696969696E-2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ht="12.75" customHeight="1" x14ac:dyDescent="0.2">
      <c r="B40" s="22"/>
      <c r="D40" s="11" t="s">
        <v>572</v>
      </c>
      <c r="E40" s="11">
        <v>2</v>
      </c>
      <c r="F40" s="403">
        <v>60250</v>
      </c>
      <c r="G40" s="404"/>
      <c r="H40" s="11"/>
      <c r="I40" s="337">
        <v>60750</v>
      </c>
      <c r="J40" s="339"/>
      <c r="K40" s="31" t="s">
        <v>25</v>
      </c>
      <c r="L40" s="53">
        <f>ROUNDUP((I40-F40)/80,0)</f>
        <v>7</v>
      </c>
      <c r="M40" s="11"/>
      <c r="N40" s="35"/>
      <c r="O40" s="35"/>
      <c r="P40" s="35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2:35" ht="12.75" customHeight="1" x14ac:dyDescent="0.2">
      <c r="B41" s="22">
        <v>1</v>
      </c>
      <c r="D41" s="11" t="s">
        <v>160</v>
      </c>
      <c r="E41" s="11">
        <v>2</v>
      </c>
      <c r="F41" s="403">
        <v>60250</v>
      </c>
      <c r="G41" s="404"/>
      <c r="H41" s="11"/>
      <c r="I41" s="337">
        <v>60570</v>
      </c>
      <c r="J41" s="339"/>
      <c r="K41" s="31" t="s">
        <v>25</v>
      </c>
      <c r="L41" s="13"/>
      <c r="M41" s="11"/>
      <c r="N41" s="35"/>
      <c r="O41" s="35"/>
      <c r="P41" s="35"/>
      <c r="Q41" s="11"/>
      <c r="R41" s="11"/>
      <c r="S41" s="11"/>
      <c r="T41" s="11">
        <f>11.5+10+9.5+8.5+7.5+7+6.5+6+6+5.5</f>
        <v>78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2.75" customHeight="1" x14ac:dyDescent="0.2">
      <c r="B42" s="22">
        <v>1</v>
      </c>
      <c r="D42" s="11" t="s">
        <v>161</v>
      </c>
      <c r="E42" s="11">
        <v>2</v>
      </c>
      <c r="F42" s="405"/>
      <c r="G42" s="406"/>
      <c r="H42" s="11"/>
      <c r="I42" s="394"/>
      <c r="J42" s="395"/>
      <c r="K42" s="31" t="s">
        <v>25</v>
      </c>
      <c r="L42" s="13"/>
      <c r="M42" s="11"/>
      <c r="N42" s="35"/>
      <c r="O42" s="35"/>
      <c r="P42" s="35"/>
      <c r="Q42" s="11"/>
      <c r="R42" s="11"/>
      <c r="S42" s="11">
        <f>23+18</f>
        <v>41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2.75" customHeight="1" x14ac:dyDescent="0.2">
      <c r="B43" s="22">
        <v>1</v>
      </c>
      <c r="D43" s="11" t="s">
        <v>162</v>
      </c>
      <c r="E43" s="11">
        <v>3</v>
      </c>
      <c r="F43" s="397">
        <v>60750</v>
      </c>
      <c r="G43" s="398"/>
      <c r="H43" s="11"/>
      <c r="I43" s="337">
        <v>61250</v>
      </c>
      <c r="J43" s="339"/>
      <c r="K43" s="31" t="s">
        <v>25</v>
      </c>
      <c r="L43" s="13"/>
      <c r="M43" s="11"/>
      <c r="N43" s="35">
        <f>(I43-F43)/5280</f>
        <v>9.4696969696969696E-2</v>
      </c>
      <c r="O43" s="35"/>
      <c r="P43" s="35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2:35" ht="12.75" customHeight="1" x14ac:dyDescent="0.2">
      <c r="B44" s="22">
        <v>1</v>
      </c>
      <c r="D44" s="11" t="s">
        <v>163</v>
      </c>
      <c r="E44" s="11">
        <v>3</v>
      </c>
      <c r="F44" s="397">
        <v>60750</v>
      </c>
      <c r="G44" s="398"/>
      <c r="H44" s="11"/>
      <c r="I44" s="337">
        <v>61250</v>
      </c>
      <c r="J44" s="339"/>
      <c r="K44" s="31" t="s">
        <v>24</v>
      </c>
      <c r="L44" s="13"/>
      <c r="M44" s="11"/>
      <c r="N44" s="35">
        <f>(I44-F44)/5280</f>
        <v>9.4696969696969696E-2</v>
      </c>
      <c r="O44" s="35"/>
      <c r="P44" s="35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2.75" customHeight="1" x14ac:dyDescent="0.2">
      <c r="B45" s="22">
        <v>1</v>
      </c>
      <c r="D45" s="11" t="s">
        <v>164</v>
      </c>
      <c r="E45" s="11">
        <v>3</v>
      </c>
      <c r="F45" s="397">
        <v>60750</v>
      </c>
      <c r="G45" s="398"/>
      <c r="H45" s="11"/>
      <c r="I45" s="337">
        <v>61250</v>
      </c>
      <c r="J45" s="339"/>
      <c r="K45" s="31" t="s">
        <v>25</v>
      </c>
      <c r="L45" s="13"/>
      <c r="M45" s="54">
        <f>ROUNDUP((I45-F45)/80,0)</f>
        <v>7</v>
      </c>
      <c r="N45" s="35"/>
      <c r="O45" s="35"/>
      <c r="P45" s="35">
        <f>(I45-F45)/5280</f>
        <v>9.4696969696969696E-2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2.75" customHeight="1" x14ac:dyDescent="0.2">
      <c r="B46" s="22"/>
      <c r="D46" s="11" t="s">
        <v>573</v>
      </c>
      <c r="E46" s="11">
        <v>3</v>
      </c>
      <c r="F46" s="397">
        <v>60750</v>
      </c>
      <c r="G46" s="398"/>
      <c r="H46" s="11"/>
      <c r="I46" s="337">
        <v>61250</v>
      </c>
      <c r="J46" s="339"/>
      <c r="K46" s="31" t="s">
        <v>25</v>
      </c>
      <c r="L46" s="53">
        <f>ROUNDUP((I46-F46)/80,0)</f>
        <v>7</v>
      </c>
      <c r="M46" s="11"/>
      <c r="N46" s="35"/>
      <c r="O46" s="35"/>
      <c r="P46" s="35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2:35" ht="12.75" customHeight="1" x14ac:dyDescent="0.2">
      <c r="B47" s="22">
        <v>1</v>
      </c>
      <c r="D47" s="11" t="s">
        <v>165</v>
      </c>
      <c r="E47" s="11">
        <v>3</v>
      </c>
      <c r="F47" s="397">
        <v>60750</v>
      </c>
      <c r="G47" s="398"/>
      <c r="H47" s="11"/>
      <c r="I47" s="337">
        <v>61250</v>
      </c>
      <c r="J47" s="339"/>
      <c r="K47" s="31" t="s">
        <v>24</v>
      </c>
      <c r="L47" s="13"/>
      <c r="M47" s="54">
        <f>ROUNDUP((I47-F47)/80,0)</f>
        <v>7</v>
      </c>
      <c r="N47" s="35"/>
      <c r="O47" s="35"/>
      <c r="P47" s="35">
        <f>(I47-F47)/5280</f>
        <v>9.4696969696969696E-2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2:35" ht="12.75" customHeight="1" x14ac:dyDescent="0.2">
      <c r="B48" s="22"/>
      <c r="D48" s="11" t="s">
        <v>574</v>
      </c>
      <c r="E48" s="11">
        <v>3</v>
      </c>
      <c r="F48" s="397">
        <v>60750</v>
      </c>
      <c r="G48" s="398"/>
      <c r="H48" s="11"/>
      <c r="I48" s="337">
        <v>61250</v>
      </c>
      <c r="J48" s="339"/>
      <c r="K48" s="31" t="s">
        <v>24</v>
      </c>
      <c r="L48" s="53">
        <f>ROUNDUP((I48-F48)/80,0)</f>
        <v>7</v>
      </c>
      <c r="M48" s="11"/>
      <c r="N48" s="35"/>
      <c r="O48" s="35"/>
      <c r="P48" s="3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2:35" ht="12.75" customHeight="1" x14ac:dyDescent="0.2">
      <c r="B49" s="22">
        <v>1</v>
      </c>
      <c r="D49" s="11" t="s">
        <v>166</v>
      </c>
      <c r="E49" s="11">
        <v>4</v>
      </c>
      <c r="F49" s="337">
        <v>61250</v>
      </c>
      <c r="G49" s="339"/>
      <c r="H49" s="11"/>
      <c r="I49" s="337">
        <v>61750</v>
      </c>
      <c r="J49" s="339"/>
      <c r="K49" s="31" t="s">
        <v>25</v>
      </c>
      <c r="L49" s="13"/>
      <c r="M49" s="11"/>
      <c r="N49" s="35">
        <f>(I49-F49)/5280</f>
        <v>9.4696969696969696E-2</v>
      </c>
      <c r="O49" s="35"/>
      <c r="P49" s="3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2:35" ht="12.75" customHeight="1" x14ac:dyDescent="0.2">
      <c r="B50" s="22"/>
      <c r="D50" s="11" t="s">
        <v>167</v>
      </c>
      <c r="E50" s="11">
        <v>4</v>
      </c>
      <c r="F50" s="337">
        <v>61250</v>
      </c>
      <c r="G50" s="339"/>
      <c r="H50" s="11"/>
      <c r="I50" s="337">
        <v>61678</v>
      </c>
      <c r="J50" s="339"/>
      <c r="K50" s="31" t="s">
        <v>24</v>
      </c>
      <c r="L50" s="13"/>
      <c r="M50" s="11"/>
      <c r="N50" s="35">
        <f>(I50-F50)/5280</f>
        <v>8.1060606060606055E-2</v>
      </c>
      <c r="O50" s="35"/>
      <c r="P50" s="35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2:35" ht="12.75" customHeight="1" x14ac:dyDescent="0.2">
      <c r="B51" s="22"/>
      <c r="D51" s="11" t="s">
        <v>168</v>
      </c>
      <c r="E51" s="11">
        <v>4</v>
      </c>
      <c r="F51" s="397">
        <v>61250</v>
      </c>
      <c r="G51" s="398"/>
      <c r="H51" s="11"/>
      <c r="I51" s="337">
        <v>61399</v>
      </c>
      <c r="J51" s="339"/>
      <c r="K51" s="31" t="s">
        <v>24</v>
      </c>
      <c r="L51" s="13"/>
      <c r="M51" s="54">
        <f>ROUNDUP((I51-F51)/80,0)</f>
        <v>2</v>
      </c>
      <c r="N51" s="35"/>
      <c r="O51" s="35"/>
      <c r="P51" s="35">
        <f>(I51-F51)/5280</f>
        <v>2.8219696969696971E-2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2:35" ht="12.75" customHeight="1" x14ac:dyDescent="0.2">
      <c r="B52" s="22"/>
      <c r="D52" s="11" t="s">
        <v>575</v>
      </c>
      <c r="E52" s="11">
        <v>4</v>
      </c>
      <c r="F52" s="397">
        <v>61250</v>
      </c>
      <c r="G52" s="398"/>
      <c r="H52" s="11"/>
      <c r="I52" s="337">
        <v>61399</v>
      </c>
      <c r="J52" s="339"/>
      <c r="K52" s="31" t="s">
        <v>24</v>
      </c>
      <c r="L52" s="53">
        <f>ROUNDUP((I52-F52)/80,0)</f>
        <v>2</v>
      </c>
      <c r="M52" s="11"/>
      <c r="N52" s="35"/>
      <c r="O52" s="35"/>
      <c r="P52" s="35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12.75" customHeight="1" x14ac:dyDescent="0.2">
      <c r="B53" s="22"/>
      <c r="D53" s="11" t="s">
        <v>169</v>
      </c>
      <c r="E53" s="11">
        <v>4</v>
      </c>
      <c r="F53" s="397">
        <v>61250</v>
      </c>
      <c r="G53" s="398"/>
      <c r="H53" s="11"/>
      <c r="I53" s="337">
        <v>61750</v>
      </c>
      <c r="J53" s="339"/>
      <c r="K53" s="31" t="s">
        <v>25</v>
      </c>
      <c r="L53" s="13"/>
      <c r="M53" s="54">
        <f>ROUNDUP((I53-F53)/80,0)</f>
        <v>7</v>
      </c>
      <c r="N53" s="35"/>
      <c r="O53" s="35"/>
      <c r="P53" s="35">
        <f>(I53-F53)/5280</f>
        <v>9.4696969696969696E-2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12.75" customHeight="1" x14ac:dyDescent="0.2">
      <c r="B54" s="22"/>
      <c r="D54" s="11" t="s">
        <v>576</v>
      </c>
      <c r="E54" s="11">
        <v>4</v>
      </c>
      <c r="F54" s="397">
        <v>61250</v>
      </c>
      <c r="G54" s="398"/>
      <c r="H54" s="11"/>
      <c r="I54" s="337">
        <v>61750</v>
      </c>
      <c r="J54" s="339"/>
      <c r="K54" s="31" t="s">
        <v>25</v>
      </c>
      <c r="L54" s="53">
        <f>ROUNDUP((I54-F54)/80,0)</f>
        <v>7</v>
      </c>
      <c r="M54" s="11"/>
      <c r="N54" s="35"/>
      <c r="O54" s="35"/>
      <c r="P54" s="35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12.75" customHeight="1" x14ac:dyDescent="0.2">
      <c r="B55" s="22"/>
      <c r="D55" s="11" t="s">
        <v>170</v>
      </c>
      <c r="E55" s="11">
        <v>4</v>
      </c>
      <c r="F55" s="405"/>
      <c r="G55" s="406"/>
      <c r="H55" s="11"/>
      <c r="I55" s="394"/>
      <c r="J55" s="395"/>
      <c r="K55" s="31" t="s">
        <v>25</v>
      </c>
      <c r="L55" s="13"/>
      <c r="M55" s="11"/>
      <c r="N55" s="35"/>
      <c r="O55" s="35"/>
      <c r="P55" s="35"/>
      <c r="Q55" s="11"/>
      <c r="R55" s="11">
        <v>24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12.75" customHeight="1" x14ac:dyDescent="0.2">
      <c r="B56" s="22"/>
      <c r="D56" s="11" t="s">
        <v>259</v>
      </c>
      <c r="E56" s="11">
        <v>4</v>
      </c>
      <c r="F56" s="401">
        <v>61399</v>
      </c>
      <c r="G56" s="402"/>
      <c r="H56" s="11"/>
      <c r="I56" s="337">
        <v>61708</v>
      </c>
      <c r="J56" s="339"/>
      <c r="K56" s="31"/>
      <c r="L56" s="13"/>
      <c r="M56" s="11"/>
      <c r="N56" s="35"/>
      <c r="O56" s="35"/>
      <c r="P56" s="35"/>
      <c r="Q56" s="32">
        <f>I56-F56</f>
        <v>309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12.75" customHeight="1" x14ac:dyDescent="0.2">
      <c r="B57" s="22"/>
      <c r="D57" s="11" t="s">
        <v>564</v>
      </c>
      <c r="E57" s="11">
        <v>4</v>
      </c>
      <c r="F57" s="401">
        <v>61708</v>
      </c>
      <c r="G57" s="402"/>
      <c r="H57" s="11"/>
      <c r="I57" s="48"/>
      <c r="J57" s="49"/>
      <c r="K57" s="31" t="s">
        <v>25</v>
      </c>
      <c r="L57" s="13"/>
      <c r="M57" s="11"/>
      <c r="N57" s="35"/>
      <c r="O57" s="35"/>
      <c r="P57" s="35"/>
      <c r="Q57" s="32">
        <v>19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12.75" customHeight="1" x14ac:dyDescent="0.2">
      <c r="B58" s="22"/>
      <c r="D58" s="11" t="s">
        <v>177</v>
      </c>
      <c r="E58" s="11">
        <v>5</v>
      </c>
      <c r="F58" s="397">
        <v>61750</v>
      </c>
      <c r="G58" s="398"/>
      <c r="H58" s="11"/>
      <c r="I58" s="337"/>
      <c r="J58" s="339"/>
      <c r="K58" s="31" t="s">
        <v>25</v>
      </c>
      <c r="L58" s="13"/>
      <c r="M58" s="11"/>
      <c r="N58" s="35"/>
      <c r="O58" s="35"/>
      <c r="P58" s="35"/>
      <c r="Q58" s="11"/>
      <c r="R58" s="11"/>
      <c r="S58" s="11">
        <v>27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12.75" customHeight="1" x14ac:dyDescent="0.2">
      <c r="B59" s="22"/>
      <c r="D59" s="11" t="s">
        <v>171</v>
      </c>
      <c r="E59" s="11">
        <v>5</v>
      </c>
      <c r="F59" s="397">
        <v>61704</v>
      </c>
      <c r="G59" s="398"/>
      <c r="H59" s="11"/>
      <c r="I59" s="337"/>
      <c r="J59" s="339"/>
      <c r="K59" s="31" t="s">
        <v>25</v>
      </c>
      <c r="L59" s="13"/>
      <c r="M59" s="11"/>
      <c r="N59" s="35"/>
      <c r="O59" s="35"/>
      <c r="P59" s="35"/>
      <c r="Q59" s="11"/>
      <c r="R59" s="11"/>
      <c r="S59" s="11"/>
      <c r="T59" s="11"/>
      <c r="U59" s="11"/>
      <c r="V59" s="11">
        <v>1</v>
      </c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12.75" customHeight="1" x14ac:dyDescent="0.2">
      <c r="B60" s="22"/>
      <c r="D60" s="11" t="s">
        <v>172</v>
      </c>
      <c r="E60" s="11">
        <v>5</v>
      </c>
      <c r="F60" s="397">
        <v>61715</v>
      </c>
      <c r="G60" s="398"/>
      <c r="H60" s="11"/>
      <c r="I60" s="337"/>
      <c r="J60" s="339"/>
      <c r="K60" s="31" t="s">
        <v>25</v>
      </c>
      <c r="L60" s="13"/>
      <c r="M60" s="11"/>
      <c r="N60" s="35"/>
      <c r="O60" s="35"/>
      <c r="P60" s="35"/>
      <c r="Q60" s="11"/>
      <c r="R60" s="11"/>
      <c r="S60" s="11"/>
      <c r="T60" s="11"/>
      <c r="U60" s="11"/>
      <c r="V60" s="11">
        <v>1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12.75" customHeight="1" x14ac:dyDescent="0.2">
      <c r="B61" s="22"/>
      <c r="D61" s="11" t="s">
        <v>175</v>
      </c>
      <c r="E61" s="11">
        <v>5</v>
      </c>
      <c r="F61" s="337">
        <v>61750</v>
      </c>
      <c r="G61" s="339"/>
      <c r="H61" s="11"/>
      <c r="I61" s="337">
        <v>62250</v>
      </c>
      <c r="J61" s="339"/>
      <c r="K61" s="31" t="s">
        <v>25</v>
      </c>
      <c r="L61" s="13"/>
      <c r="M61" s="11"/>
      <c r="N61" s="35">
        <f>(I61-F61)/5280</f>
        <v>9.4696969696969696E-2</v>
      </c>
      <c r="O61" s="35"/>
      <c r="P61" s="35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12.75" customHeight="1" x14ac:dyDescent="0.2">
      <c r="B62" s="22"/>
      <c r="D62" s="11" t="s">
        <v>176</v>
      </c>
      <c r="E62" s="11">
        <v>5</v>
      </c>
      <c r="F62" s="337">
        <v>61750</v>
      </c>
      <c r="G62" s="339"/>
      <c r="H62" s="11"/>
      <c r="I62" s="337">
        <v>62250</v>
      </c>
      <c r="J62" s="339"/>
      <c r="K62" s="31" t="s">
        <v>24</v>
      </c>
      <c r="L62" s="13"/>
      <c r="M62" s="11"/>
      <c r="N62" s="35">
        <f>(I62-F62)/5280</f>
        <v>9.4696969696969696E-2</v>
      </c>
      <c r="O62" s="35"/>
      <c r="P62" s="35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12.75" customHeight="1" x14ac:dyDescent="0.2">
      <c r="B63" s="22"/>
      <c r="D63" s="11" t="s">
        <v>173</v>
      </c>
      <c r="E63" s="11">
        <v>5</v>
      </c>
      <c r="F63" s="397">
        <v>61796</v>
      </c>
      <c r="G63" s="398"/>
      <c r="H63" s="11"/>
      <c r="I63" s="337">
        <v>62250</v>
      </c>
      <c r="J63" s="339"/>
      <c r="K63" s="31" t="s">
        <v>25</v>
      </c>
      <c r="L63" s="13"/>
      <c r="M63" s="54">
        <f>ROUNDUP((I63-F63)/80,0)</f>
        <v>6</v>
      </c>
      <c r="N63" s="35"/>
      <c r="O63" s="35"/>
      <c r="P63" s="35">
        <f>(I63-F63)/5280</f>
        <v>8.5984848484848483E-2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12.75" customHeight="1" x14ac:dyDescent="0.2">
      <c r="B64" s="22"/>
      <c r="D64" s="11" t="s">
        <v>577</v>
      </c>
      <c r="E64" s="11">
        <v>5</v>
      </c>
      <c r="F64" s="397">
        <v>61796</v>
      </c>
      <c r="G64" s="398"/>
      <c r="H64" s="11"/>
      <c r="I64" s="337">
        <v>62250</v>
      </c>
      <c r="J64" s="339"/>
      <c r="K64" s="31" t="s">
        <v>25</v>
      </c>
      <c r="L64" s="53">
        <f>ROUNDUP((I64-F64)/80,0)</f>
        <v>6</v>
      </c>
      <c r="M64" s="11"/>
      <c r="N64" s="35"/>
      <c r="O64" s="35"/>
      <c r="P64" s="35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12.75" customHeight="1" x14ac:dyDescent="0.2">
      <c r="B65" s="22"/>
      <c r="D65" s="11" t="s">
        <v>174</v>
      </c>
      <c r="E65" s="11">
        <v>5</v>
      </c>
      <c r="F65" s="397">
        <v>61796</v>
      </c>
      <c r="G65" s="398"/>
      <c r="H65" s="11"/>
      <c r="I65" s="337">
        <v>62250</v>
      </c>
      <c r="J65" s="339"/>
      <c r="K65" s="31" t="s">
        <v>24</v>
      </c>
      <c r="L65" s="13"/>
      <c r="M65" s="54">
        <f>ROUNDUP((I65-F65)/80,0)</f>
        <v>6</v>
      </c>
      <c r="N65" s="35"/>
      <c r="O65" s="35"/>
      <c r="P65" s="35">
        <f>(I65-F65)/5280</f>
        <v>8.5984848484848483E-2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12.75" customHeight="1" x14ac:dyDescent="0.2">
      <c r="B66" s="22"/>
      <c r="D66" s="11" t="s">
        <v>578</v>
      </c>
      <c r="E66" s="11">
        <v>5</v>
      </c>
      <c r="F66" s="397">
        <v>61796</v>
      </c>
      <c r="G66" s="398"/>
      <c r="H66" s="11"/>
      <c r="I66" s="337">
        <v>62250</v>
      </c>
      <c r="J66" s="339"/>
      <c r="K66" s="31" t="s">
        <v>24</v>
      </c>
      <c r="L66" s="53">
        <f>ROUNDUP((I66-F66)/80,0)</f>
        <v>6</v>
      </c>
      <c r="M66" s="11"/>
      <c r="N66" s="35"/>
      <c r="O66" s="35"/>
      <c r="P66" s="35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12.75" customHeight="1" x14ac:dyDescent="0.2">
      <c r="B67" s="22"/>
      <c r="D67" s="11" t="s">
        <v>177</v>
      </c>
      <c r="E67" s="11">
        <v>5</v>
      </c>
      <c r="F67" s="397">
        <v>61763</v>
      </c>
      <c r="G67" s="398"/>
      <c r="H67" s="11"/>
      <c r="I67" s="337"/>
      <c r="J67" s="339"/>
      <c r="K67" s="31" t="s">
        <v>25</v>
      </c>
      <c r="L67" s="13"/>
      <c r="M67" s="11"/>
      <c r="N67" s="35"/>
      <c r="O67" s="35"/>
      <c r="P67" s="35"/>
      <c r="Q67" s="11"/>
      <c r="R67" s="11"/>
      <c r="S67" s="11">
        <v>19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12.75" customHeight="1" x14ac:dyDescent="0.2">
      <c r="B68" s="22"/>
      <c r="D68" s="11" t="s">
        <v>178</v>
      </c>
      <c r="E68" s="11">
        <v>6</v>
      </c>
      <c r="F68" s="337">
        <v>62250</v>
      </c>
      <c r="G68" s="339"/>
      <c r="H68" s="11"/>
      <c r="I68" s="337">
        <v>62750</v>
      </c>
      <c r="J68" s="339"/>
      <c r="K68" s="31" t="s">
        <v>25</v>
      </c>
      <c r="L68" s="13"/>
      <c r="M68" s="11"/>
      <c r="N68" s="35">
        <f>(I68-F68)/5280</f>
        <v>9.4696969696969696E-2</v>
      </c>
      <c r="O68" s="35"/>
      <c r="P68" s="35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12.75" customHeight="1" x14ac:dyDescent="0.2">
      <c r="B69" s="22"/>
      <c r="D69" s="11" t="s">
        <v>179</v>
      </c>
      <c r="E69" s="11">
        <v>6</v>
      </c>
      <c r="F69" s="337">
        <v>62250</v>
      </c>
      <c r="G69" s="339"/>
      <c r="H69" s="11"/>
      <c r="I69" s="337">
        <v>62750</v>
      </c>
      <c r="J69" s="339"/>
      <c r="K69" s="31" t="s">
        <v>24</v>
      </c>
      <c r="L69" s="13"/>
      <c r="M69" s="11"/>
      <c r="N69" s="35">
        <f>(I69-F69)/5280</f>
        <v>9.4696969696969696E-2</v>
      </c>
      <c r="O69" s="35"/>
      <c r="P69" s="35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12.75" customHeight="1" x14ac:dyDescent="0.2">
      <c r="B70" s="22"/>
      <c r="D70" s="11" t="s">
        <v>180</v>
      </c>
      <c r="E70" s="11">
        <v>6</v>
      </c>
      <c r="F70" s="337">
        <v>62250</v>
      </c>
      <c r="G70" s="339"/>
      <c r="H70" s="11"/>
      <c r="I70" s="337">
        <v>62720</v>
      </c>
      <c r="J70" s="339"/>
      <c r="K70" s="31" t="s">
        <v>25</v>
      </c>
      <c r="L70" s="13"/>
      <c r="M70" s="54">
        <f>ROUNDUP((I70-F70)/80,0)</f>
        <v>6</v>
      </c>
      <c r="N70" s="35"/>
      <c r="O70" s="35"/>
      <c r="P70" s="35">
        <f>(I70-F70)/5280</f>
        <v>8.9015151515151519E-2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12.75" customHeight="1" x14ac:dyDescent="0.2">
      <c r="B71" s="22"/>
      <c r="D71" s="11" t="s">
        <v>579</v>
      </c>
      <c r="E71" s="11">
        <v>6</v>
      </c>
      <c r="F71" s="337">
        <v>62250</v>
      </c>
      <c r="G71" s="339"/>
      <c r="H71" s="11"/>
      <c r="I71" s="337">
        <v>62720</v>
      </c>
      <c r="J71" s="339"/>
      <c r="K71" s="31" t="s">
        <v>25</v>
      </c>
      <c r="L71" s="53">
        <f>ROUNDUP((I71-F71)/80,0)</f>
        <v>6</v>
      </c>
      <c r="M71" s="11"/>
      <c r="N71" s="35"/>
      <c r="O71" s="35"/>
      <c r="P71" s="35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12.75" customHeight="1" x14ac:dyDescent="0.2">
      <c r="B72" s="22"/>
      <c r="D72" s="11" t="s">
        <v>181</v>
      </c>
      <c r="E72" s="11">
        <v>6</v>
      </c>
      <c r="F72" s="337">
        <v>62250</v>
      </c>
      <c r="G72" s="339"/>
      <c r="H72" s="11"/>
      <c r="I72" s="337">
        <v>62600</v>
      </c>
      <c r="J72" s="339"/>
      <c r="K72" s="31" t="s">
        <v>24</v>
      </c>
      <c r="L72" s="13"/>
      <c r="M72" s="54">
        <f>ROUNDUP((I72-F72)/80,0)</f>
        <v>5</v>
      </c>
      <c r="N72" s="35"/>
      <c r="O72" s="35"/>
      <c r="P72" s="35">
        <f>(I72-F72)/5280</f>
        <v>6.6287878787878785E-2</v>
      </c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12.75" customHeight="1" x14ac:dyDescent="0.2">
      <c r="B73" s="22"/>
      <c r="D73" s="11" t="s">
        <v>580</v>
      </c>
      <c r="E73" s="11">
        <v>6</v>
      </c>
      <c r="F73" s="337">
        <v>62250</v>
      </c>
      <c r="G73" s="339"/>
      <c r="H73" s="11"/>
      <c r="I73" s="337">
        <v>62600</v>
      </c>
      <c r="J73" s="339"/>
      <c r="K73" s="31" t="s">
        <v>24</v>
      </c>
      <c r="L73" s="53">
        <f>ROUNDUP((I73-F73)/80,0)</f>
        <v>5</v>
      </c>
      <c r="M73" s="11"/>
      <c r="N73" s="35"/>
      <c r="O73" s="35"/>
      <c r="P73" s="35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12.75" customHeight="1" x14ac:dyDescent="0.2">
      <c r="B74" s="22"/>
      <c r="D74" s="11" t="s">
        <v>182</v>
      </c>
      <c r="E74" s="11">
        <v>6</v>
      </c>
      <c r="F74" s="337">
        <v>62720</v>
      </c>
      <c r="G74" s="339"/>
      <c r="H74" s="11"/>
      <c r="I74" s="337">
        <v>62750</v>
      </c>
      <c r="J74" s="339"/>
      <c r="K74" s="31" t="s">
        <v>35</v>
      </c>
      <c r="L74" s="13"/>
      <c r="M74" s="54">
        <f>ROUNDUP((I74-F74)/80,0)</f>
        <v>1</v>
      </c>
      <c r="N74" s="35"/>
      <c r="O74" s="35"/>
      <c r="P74" s="35">
        <f>(I74-F74)/5280</f>
        <v>5.681818181818182E-3</v>
      </c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12.75" customHeight="1" x14ac:dyDescent="0.2">
      <c r="B75" s="22"/>
      <c r="D75" s="11" t="s">
        <v>581</v>
      </c>
      <c r="E75" s="11">
        <v>6</v>
      </c>
      <c r="F75" s="337">
        <v>62720</v>
      </c>
      <c r="G75" s="339"/>
      <c r="H75" s="11"/>
      <c r="I75" s="337">
        <v>62750</v>
      </c>
      <c r="J75" s="339"/>
      <c r="K75" s="31" t="s">
        <v>35</v>
      </c>
      <c r="L75" s="53">
        <f>ROUNDUP((I75-F75)/80,0)</f>
        <v>1</v>
      </c>
      <c r="M75" s="11"/>
      <c r="N75" s="35"/>
      <c r="O75" s="35"/>
      <c r="P75" s="35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12.75" customHeight="1" x14ac:dyDescent="0.2">
      <c r="B76" s="22"/>
      <c r="D76" s="11" t="s">
        <v>183</v>
      </c>
      <c r="E76" s="11">
        <v>7</v>
      </c>
      <c r="F76" s="337">
        <v>62750</v>
      </c>
      <c r="G76" s="339"/>
      <c r="H76" s="11"/>
      <c r="I76" s="337">
        <v>63250</v>
      </c>
      <c r="J76" s="339"/>
      <c r="K76" s="31" t="s">
        <v>25</v>
      </c>
      <c r="L76" s="13"/>
      <c r="M76" s="11"/>
      <c r="N76" s="35">
        <f>(I76-F76)/5280</f>
        <v>9.4696969696969696E-2</v>
      </c>
      <c r="O76" s="35"/>
      <c r="P76" s="35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12.75" customHeight="1" x14ac:dyDescent="0.2">
      <c r="B77" s="22"/>
      <c r="D77" s="11" t="s">
        <v>184</v>
      </c>
      <c r="E77" s="11">
        <v>7</v>
      </c>
      <c r="F77" s="337">
        <v>62750</v>
      </c>
      <c r="G77" s="339"/>
      <c r="H77" s="11"/>
      <c r="I77" s="337">
        <v>63250</v>
      </c>
      <c r="J77" s="339"/>
      <c r="K77" s="31" t="s">
        <v>24</v>
      </c>
      <c r="L77" s="13"/>
      <c r="M77" s="11"/>
      <c r="N77" s="35">
        <f>(I77-F77)/5280</f>
        <v>9.4696969696969696E-2</v>
      </c>
      <c r="O77" s="35"/>
      <c r="P77" s="35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12.75" customHeight="1" x14ac:dyDescent="0.2">
      <c r="B78" s="22"/>
      <c r="D78" s="11" t="s">
        <v>185</v>
      </c>
      <c r="E78" s="11">
        <v>7</v>
      </c>
      <c r="F78" s="337">
        <v>62750</v>
      </c>
      <c r="G78" s="339"/>
      <c r="H78" s="11"/>
      <c r="I78" s="337">
        <v>63120</v>
      </c>
      <c r="J78" s="339"/>
      <c r="K78" s="31" t="s">
        <v>25</v>
      </c>
      <c r="L78" s="13"/>
      <c r="M78" s="54">
        <f>ROUNDUP((I78-F78)/80,0)</f>
        <v>5</v>
      </c>
      <c r="N78" s="35"/>
      <c r="O78" s="35"/>
      <c r="P78" s="35">
        <f>(I78-F78)/5280</f>
        <v>7.0075757575757569E-2</v>
      </c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12.75" customHeight="1" x14ac:dyDescent="0.2">
      <c r="B79" s="22"/>
      <c r="D79" s="11" t="s">
        <v>582</v>
      </c>
      <c r="E79" s="11">
        <v>7</v>
      </c>
      <c r="F79" s="337">
        <v>62750</v>
      </c>
      <c r="G79" s="339"/>
      <c r="H79" s="11"/>
      <c r="I79" s="337">
        <v>63120</v>
      </c>
      <c r="J79" s="339"/>
      <c r="K79" s="31" t="s">
        <v>25</v>
      </c>
      <c r="L79" s="53">
        <f>ROUNDUP((I79-F79)/80,0)</f>
        <v>5</v>
      </c>
      <c r="M79" s="11"/>
      <c r="N79" s="35"/>
      <c r="O79" s="35"/>
      <c r="P79" s="35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12.75" customHeight="1" x14ac:dyDescent="0.2">
      <c r="B80" s="22"/>
      <c r="D80" s="11" t="s">
        <v>186</v>
      </c>
      <c r="E80" s="11">
        <v>7</v>
      </c>
      <c r="F80" s="337">
        <v>63120</v>
      </c>
      <c r="G80" s="339"/>
      <c r="H80" s="11"/>
      <c r="I80" s="337">
        <v>63250</v>
      </c>
      <c r="J80" s="339"/>
      <c r="K80" s="31" t="s">
        <v>35</v>
      </c>
      <c r="L80" s="13"/>
      <c r="M80" s="54">
        <f>ROUNDUP((I80-F80)/80,0)</f>
        <v>2</v>
      </c>
      <c r="N80" s="35"/>
      <c r="O80" s="35"/>
      <c r="P80" s="35">
        <f>(I80-F80)/5280</f>
        <v>2.462121212121212E-2</v>
      </c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12.75" customHeight="1" x14ac:dyDescent="0.2">
      <c r="B81" s="22"/>
      <c r="D81" s="11" t="s">
        <v>583</v>
      </c>
      <c r="E81" s="11">
        <v>7</v>
      </c>
      <c r="F81" s="337">
        <v>63120</v>
      </c>
      <c r="G81" s="339"/>
      <c r="H81" s="11"/>
      <c r="I81" s="337">
        <v>63250</v>
      </c>
      <c r="J81" s="339"/>
      <c r="K81" s="31" t="s">
        <v>35</v>
      </c>
      <c r="L81" s="53">
        <f>ROUNDUP((I81-F81)/80,0)</f>
        <v>2</v>
      </c>
      <c r="M81" s="11"/>
      <c r="N81" s="35"/>
      <c r="O81" s="35"/>
      <c r="P81" s="35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2:35" ht="12.75" customHeight="1" x14ac:dyDescent="0.2">
      <c r="B82" s="22"/>
      <c r="D82" s="11" t="s">
        <v>187</v>
      </c>
      <c r="E82" s="11">
        <v>8</v>
      </c>
      <c r="F82" s="337">
        <v>63250</v>
      </c>
      <c r="G82" s="339"/>
      <c r="H82" s="11"/>
      <c r="I82" s="337">
        <v>63750</v>
      </c>
      <c r="J82" s="339"/>
      <c r="K82" s="31" t="s">
        <v>25</v>
      </c>
      <c r="L82" s="13"/>
      <c r="M82" s="11"/>
      <c r="N82" s="35">
        <f>(I82-F82)/5280</f>
        <v>9.4696969696969696E-2</v>
      </c>
      <c r="O82" s="35"/>
      <c r="P82" s="35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2:35" ht="12.75" customHeight="1" x14ac:dyDescent="0.2">
      <c r="B83" s="22"/>
      <c r="D83" s="11" t="s">
        <v>188</v>
      </c>
      <c r="E83" s="11">
        <v>8</v>
      </c>
      <c r="F83" s="337">
        <v>63250</v>
      </c>
      <c r="G83" s="339"/>
      <c r="H83" s="11"/>
      <c r="I83" s="337">
        <v>63750</v>
      </c>
      <c r="J83" s="339"/>
      <c r="K83" s="31" t="s">
        <v>24</v>
      </c>
      <c r="L83" s="13"/>
      <c r="M83" s="11"/>
      <c r="N83" s="35">
        <f>(I83-F83)/5280</f>
        <v>9.4696969696969696E-2</v>
      </c>
      <c r="O83" s="35"/>
      <c r="P83" s="35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2:35" ht="12.75" customHeight="1" x14ac:dyDescent="0.2">
      <c r="B84" s="22"/>
      <c r="D84" s="11" t="s">
        <v>189</v>
      </c>
      <c r="E84" s="11">
        <v>8</v>
      </c>
      <c r="F84" s="337">
        <v>63250</v>
      </c>
      <c r="G84" s="339"/>
      <c r="H84" s="11"/>
      <c r="I84" s="337">
        <v>63750</v>
      </c>
      <c r="J84" s="339"/>
      <c r="K84" s="31" t="s">
        <v>35</v>
      </c>
      <c r="L84" s="13"/>
      <c r="M84" s="54">
        <f>ROUNDUP((I84-F84)/80,0)</f>
        <v>7</v>
      </c>
      <c r="N84" s="35"/>
      <c r="O84" s="35"/>
      <c r="P84" s="35">
        <f>(I84-F84)/5280</f>
        <v>9.4696969696969696E-2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2:35" ht="12.75" customHeight="1" x14ac:dyDescent="0.2">
      <c r="B85" s="22"/>
      <c r="D85" s="11" t="s">
        <v>584</v>
      </c>
      <c r="E85" s="11">
        <v>8</v>
      </c>
      <c r="F85" s="337">
        <v>63250</v>
      </c>
      <c r="G85" s="339"/>
      <c r="H85" s="11"/>
      <c r="I85" s="337">
        <v>63750</v>
      </c>
      <c r="J85" s="339"/>
      <c r="K85" s="31" t="s">
        <v>35</v>
      </c>
      <c r="L85" s="53">
        <f>ROUNDUP((I85-F85)/80,0)</f>
        <v>7</v>
      </c>
      <c r="M85" s="11"/>
      <c r="N85" s="35"/>
      <c r="O85" s="35"/>
      <c r="P85" s="35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2:35" ht="12.75" customHeight="1" x14ac:dyDescent="0.2">
      <c r="B86" s="22"/>
      <c r="D86" s="11" t="s">
        <v>190</v>
      </c>
      <c r="E86" s="11">
        <v>9</v>
      </c>
      <c r="F86" s="337">
        <v>63750</v>
      </c>
      <c r="G86" s="339"/>
      <c r="H86" s="11"/>
      <c r="I86" s="337">
        <v>64250</v>
      </c>
      <c r="J86" s="339"/>
      <c r="K86" s="31" t="s">
        <v>25</v>
      </c>
      <c r="L86" s="13"/>
      <c r="M86" s="11"/>
      <c r="N86" s="35">
        <f>(I86-F86)/5280</f>
        <v>9.4696969696969696E-2</v>
      </c>
      <c r="O86" s="35"/>
      <c r="P86" s="35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2:35" ht="12.75" customHeight="1" x14ac:dyDescent="0.2">
      <c r="B87" s="22"/>
      <c r="D87" s="11" t="s">
        <v>191</v>
      </c>
      <c r="E87" s="11">
        <v>9</v>
      </c>
      <c r="F87" s="337">
        <v>63750</v>
      </c>
      <c r="G87" s="339"/>
      <c r="H87" s="11"/>
      <c r="I87" s="337">
        <v>64250</v>
      </c>
      <c r="J87" s="339"/>
      <c r="K87" s="31" t="s">
        <v>24</v>
      </c>
      <c r="L87" s="13"/>
      <c r="M87" s="11"/>
      <c r="N87" s="35">
        <f>(I87-F87)/5280</f>
        <v>9.4696969696969696E-2</v>
      </c>
      <c r="O87" s="35"/>
      <c r="P87" s="35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2:35" ht="12.75" customHeight="1" x14ac:dyDescent="0.2">
      <c r="B88" s="22"/>
      <c r="D88" s="11" t="s">
        <v>192</v>
      </c>
      <c r="E88" s="11">
        <v>9</v>
      </c>
      <c r="F88" s="337">
        <v>63750</v>
      </c>
      <c r="G88" s="339"/>
      <c r="H88" s="11"/>
      <c r="I88" s="337">
        <v>64250</v>
      </c>
      <c r="J88" s="339"/>
      <c r="K88" s="31" t="s">
        <v>35</v>
      </c>
      <c r="L88" s="13"/>
      <c r="M88" s="54">
        <f>ROUNDUP((I88-F88)/80,0)</f>
        <v>7</v>
      </c>
      <c r="N88" s="35"/>
      <c r="O88" s="35"/>
      <c r="P88" s="35">
        <f>(I88-F88)/5280</f>
        <v>9.4696969696969696E-2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2:35" ht="12.75" customHeight="1" x14ac:dyDescent="0.2">
      <c r="B89" s="22"/>
      <c r="D89" s="11" t="s">
        <v>585</v>
      </c>
      <c r="E89" s="11">
        <v>9</v>
      </c>
      <c r="F89" s="337">
        <v>63750</v>
      </c>
      <c r="G89" s="339"/>
      <c r="H89" s="11"/>
      <c r="I89" s="337">
        <v>64250</v>
      </c>
      <c r="J89" s="339"/>
      <c r="K89" s="31" t="s">
        <v>35</v>
      </c>
      <c r="L89" s="53">
        <f>ROUNDUP((I89-F89)/80,0)</f>
        <v>7</v>
      </c>
      <c r="M89" s="11"/>
      <c r="N89" s="35"/>
      <c r="O89" s="35"/>
      <c r="P89" s="35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2:35" ht="12.75" customHeight="1" x14ac:dyDescent="0.2">
      <c r="B90" s="22"/>
      <c r="D90" s="11" t="s">
        <v>193</v>
      </c>
      <c r="E90" s="11">
        <v>10</v>
      </c>
      <c r="F90" s="337">
        <v>64250</v>
      </c>
      <c r="G90" s="339"/>
      <c r="H90" s="11"/>
      <c r="I90" s="337">
        <v>64750</v>
      </c>
      <c r="J90" s="339"/>
      <c r="K90" s="31" t="s">
        <v>25</v>
      </c>
      <c r="L90" s="13"/>
      <c r="M90" s="11"/>
      <c r="N90" s="35">
        <f>(I90-F90)/5280</f>
        <v>9.4696969696969696E-2</v>
      </c>
      <c r="O90" s="35"/>
      <c r="P90" s="35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2:35" ht="12.75" customHeight="1" x14ac:dyDescent="0.2">
      <c r="B91" s="22"/>
      <c r="D91" s="11" t="s">
        <v>194</v>
      </c>
      <c r="E91" s="11">
        <v>10</v>
      </c>
      <c r="F91" s="337">
        <v>64250</v>
      </c>
      <c r="G91" s="339"/>
      <c r="H91" s="11"/>
      <c r="I91" s="337">
        <v>64750</v>
      </c>
      <c r="J91" s="339"/>
      <c r="K91" s="31" t="s">
        <v>24</v>
      </c>
      <c r="L91" s="13"/>
      <c r="M91" s="11"/>
      <c r="N91" s="35">
        <f>(I91-F91)/5280</f>
        <v>9.4696969696969696E-2</v>
      </c>
      <c r="O91" s="35"/>
      <c r="P91" s="35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2:35" ht="12.75" customHeight="1" x14ac:dyDescent="0.2">
      <c r="B92" s="22"/>
      <c r="D92" s="11" t="s">
        <v>195</v>
      </c>
      <c r="E92" s="11">
        <v>10</v>
      </c>
      <c r="F92" s="337">
        <v>64250</v>
      </c>
      <c r="G92" s="339"/>
      <c r="H92" s="11"/>
      <c r="I92" s="337">
        <v>64750</v>
      </c>
      <c r="J92" s="339"/>
      <c r="K92" s="31" t="s">
        <v>25</v>
      </c>
      <c r="L92" s="13"/>
      <c r="M92" s="54">
        <f>ROUNDUP((I92-F92)/80,0)</f>
        <v>7</v>
      </c>
      <c r="N92" s="35"/>
      <c r="O92" s="35"/>
      <c r="P92" s="35">
        <f>(I92-F92)/5280</f>
        <v>9.4696969696969696E-2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2:35" ht="12.75" customHeight="1" x14ac:dyDescent="0.2">
      <c r="B93" s="22"/>
      <c r="D93" s="11" t="s">
        <v>586</v>
      </c>
      <c r="E93" s="11">
        <v>10</v>
      </c>
      <c r="F93" s="337">
        <v>64250</v>
      </c>
      <c r="G93" s="339"/>
      <c r="H93" s="11"/>
      <c r="I93" s="337">
        <v>64750</v>
      </c>
      <c r="J93" s="339"/>
      <c r="K93" s="31" t="s">
        <v>25</v>
      </c>
      <c r="L93" s="53">
        <f>ROUNDUP((I93-F93)/80,0)</f>
        <v>7</v>
      </c>
      <c r="M93" s="11"/>
      <c r="N93" s="35"/>
      <c r="O93" s="35"/>
      <c r="P93" s="35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2:35" ht="12.75" customHeight="1" x14ac:dyDescent="0.2">
      <c r="B94" s="22"/>
      <c r="D94" s="11" t="s">
        <v>196</v>
      </c>
      <c r="E94" s="11">
        <v>11</v>
      </c>
      <c r="F94" s="337">
        <v>64750</v>
      </c>
      <c r="G94" s="339"/>
      <c r="H94" s="11"/>
      <c r="I94" s="337">
        <v>65250</v>
      </c>
      <c r="J94" s="339"/>
      <c r="K94" s="31" t="s">
        <v>25</v>
      </c>
      <c r="L94" s="13"/>
      <c r="M94" s="11"/>
      <c r="N94" s="35">
        <f>(I94-F94)/5280</f>
        <v>9.4696969696969696E-2</v>
      </c>
      <c r="O94" s="35"/>
      <c r="P94" s="35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2:35" ht="12.75" customHeight="1" x14ac:dyDescent="0.2">
      <c r="B95" s="22"/>
      <c r="D95" s="11" t="s">
        <v>197</v>
      </c>
      <c r="E95" s="11">
        <v>11</v>
      </c>
      <c r="F95" s="337">
        <v>64750</v>
      </c>
      <c r="G95" s="339"/>
      <c r="H95" s="11"/>
      <c r="I95" s="337">
        <v>65250</v>
      </c>
      <c r="J95" s="339"/>
      <c r="K95" s="31" t="s">
        <v>24</v>
      </c>
      <c r="L95" s="13"/>
      <c r="M95" s="11"/>
      <c r="N95" s="35">
        <f>(I95-F95)/5280</f>
        <v>9.4696969696969696E-2</v>
      </c>
      <c r="O95" s="35"/>
      <c r="P95" s="35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2:35" ht="12.75" customHeight="1" x14ac:dyDescent="0.2">
      <c r="B96" s="22"/>
      <c r="D96" s="11" t="s">
        <v>198</v>
      </c>
      <c r="E96" s="11">
        <v>11</v>
      </c>
      <c r="F96" s="337">
        <v>64750</v>
      </c>
      <c r="G96" s="339"/>
      <c r="H96" s="11"/>
      <c r="I96" s="337">
        <v>65116</v>
      </c>
      <c r="J96" s="339"/>
      <c r="K96" s="31" t="s">
        <v>24</v>
      </c>
      <c r="L96" s="13"/>
      <c r="M96" s="54">
        <f>ROUNDUP((I96-F96)/80,0)</f>
        <v>5</v>
      </c>
      <c r="N96" s="35"/>
      <c r="O96" s="35"/>
      <c r="P96" s="35">
        <f>(I96-F96)/5280</f>
        <v>6.931818181818182E-2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2:35" ht="12.75" customHeight="1" x14ac:dyDescent="0.2">
      <c r="B97" s="22"/>
      <c r="D97" s="11" t="s">
        <v>587</v>
      </c>
      <c r="E97" s="11">
        <v>11</v>
      </c>
      <c r="F97" s="337">
        <v>64750</v>
      </c>
      <c r="G97" s="339"/>
      <c r="H97" s="11"/>
      <c r="I97" s="337">
        <v>65116</v>
      </c>
      <c r="J97" s="339"/>
      <c r="K97" s="31" t="s">
        <v>24</v>
      </c>
      <c r="L97" s="53">
        <f>ROUNDUP((I97-F97)/80,0)</f>
        <v>5</v>
      </c>
      <c r="M97" s="11"/>
      <c r="N97" s="35"/>
      <c r="O97" s="35"/>
      <c r="P97" s="35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2:35" ht="12.75" customHeight="1" x14ac:dyDescent="0.2">
      <c r="B98" s="22"/>
      <c r="D98" s="11" t="s">
        <v>199</v>
      </c>
      <c r="E98" s="11">
        <v>11</v>
      </c>
      <c r="F98" s="337">
        <v>65116</v>
      </c>
      <c r="G98" s="339"/>
      <c r="H98" s="11"/>
      <c r="I98" s="337">
        <v>65250</v>
      </c>
      <c r="J98" s="339"/>
      <c r="K98" s="31" t="s">
        <v>24</v>
      </c>
      <c r="L98" s="13"/>
      <c r="M98" s="54">
        <f>ROUNDUP((I98-F98)/80,0)</f>
        <v>2</v>
      </c>
      <c r="N98" s="35"/>
      <c r="O98" s="35"/>
      <c r="P98" s="35">
        <f>(I98-F98)/5280</f>
        <v>2.5378787878787879E-2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2:35" ht="12.75" customHeight="1" x14ac:dyDescent="0.2">
      <c r="B99" s="22"/>
      <c r="D99" s="11" t="s">
        <v>588</v>
      </c>
      <c r="E99" s="11">
        <v>11</v>
      </c>
      <c r="F99" s="337">
        <v>65116</v>
      </c>
      <c r="G99" s="339"/>
      <c r="H99" s="11"/>
      <c r="I99" s="337">
        <v>65250</v>
      </c>
      <c r="J99" s="339"/>
      <c r="K99" s="31" t="s">
        <v>24</v>
      </c>
      <c r="L99" s="53">
        <f>ROUNDUP((I99-F99)/80,0)</f>
        <v>2</v>
      </c>
      <c r="M99" s="11"/>
      <c r="N99" s="35"/>
      <c r="O99" s="35"/>
      <c r="P99" s="35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2:35" ht="12.75" customHeight="1" x14ac:dyDescent="0.2">
      <c r="B100" s="22"/>
      <c r="D100" s="11" t="s">
        <v>200</v>
      </c>
      <c r="E100" s="11">
        <v>11</v>
      </c>
      <c r="F100" s="410">
        <v>64908</v>
      </c>
      <c r="G100" s="411"/>
      <c r="H100" s="11"/>
      <c r="I100" s="337"/>
      <c r="J100" s="339"/>
      <c r="K100" s="31" t="s">
        <v>25</v>
      </c>
      <c r="L100" s="13"/>
      <c r="M100" s="11"/>
      <c r="N100" s="35"/>
      <c r="O100" s="35"/>
      <c r="P100" s="35"/>
      <c r="Q100" s="11"/>
      <c r="R100" s="11"/>
      <c r="S100" s="11">
        <v>20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2:35" ht="12.75" customHeight="1" x14ac:dyDescent="0.2">
      <c r="B101" s="22"/>
      <c r="D101" s="11" t="s">
        <v>202</v>
      </c>
      <c r="E101" s="11">
        <v>12</v>
      </c>
      <c r="F101" s="337">
        <v>65250</v>
      </c>
      <c r="G101" s="339"/>
      <c r="H101" s="11"/>
      <c r="I101" s="337">
        <v>65650</v>
      </c>
      <c r="J101" s="339"/>
      <c r="K101" s="31" t="s">
        <v>25</v>
      </c>
      <c r="L101" s="13"/>
      <c r="M101" s="11"/>
      <c r="N101" s="35">
        <f>(I101-F101)/5280</f>
        <v>7.575757575757576E-2</v>
      </c>
      <c r="O101" s="35"/>
      <c r="P101" s="35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2:35" ht="12.75" customHeight="1" x14ac:dyDescent="0.2">
      <c r="B102" s="22"/>
      <c r="D102" s="11" t="s">
        <v>203</v>
      </c>
      <c r="E102" s="11">
        <v>12</v>
      </c>
      <c r="F102" s="337">
        <v>65250</v>
      </c>
      <c r="G102" s="339"/>
      <c r="H102" s="11"/>
      <c r="I102" s="337">
        <v>65650</v>
      </c>
      <c r="J102" s="339"/>
      <c r="K102" s="31" t="s">
        <v>24</v>
      </c>
      <c r="L102" s="13"/>
      <c r="M102" s="11"/>
      <c r="N102" s="35">
        <f>(I102-F102)/5280</f>
        <v>7.575757575757576E-2</v>
      </c>
      <c r="O102" s="35"/>
      <c r="P102" s="35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2:35" ht="12.75" customHeight="1" x14ac:dyDescent="0.2">
      <c r="B103" s="22"/>
      <c r="D103" s="11" t="s">
        <v>201</v>
      </c>
      <c r="E103" s="11">
        <v>12</v>
      </c>
      <c r="F103" s="337">
        <v>65250</v>
      </c>
      <c r="G103" s="339"/>
      <c r="H103" s="11"/>
      <c r="I103" s="337">
        <v>65650</v>
      </c>
      <c r="J103" s="339"/>
      <c r="K103" s="31" t="s">
        <v>24</v>
      </c>
      <c r="L103" s="13"/>
      <c r="M103" s="54">
        <f>ROUNDUP((I103-F103)/80,0)</f>
        <v>5</v>
      </c>
      <c r="N103" s="35"/>
      <c r="O103" s="35"/>
      <c r="P103" s="35">
        <f>(I103-F103)/5280</f>
        <v>7.575757575757576E-2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2:35" ht="12.75" customHeight="1" x14ac:dyDescent="0.2">
      <c r="B104" s="22"/>
      <c r="D104" s="11" t="s">
        <v>589</v>
      </c>
      <c r="E104" s="11">
        <v>12</v>
      </c>
      <c r="F104" s="337">
        <v>65250</v>
      </c>
      <c r="G104" s="339"/>
      <c r="H104" s="11"/>
      <c r="I104" s="337">
        <v>65650</v>
      </c>
      <c r="J104" s="339"/>
      <c r="K104" s="31" t="s">
        <v>24</v>
      </c>
      <c r="L104" s="53">
        <f>ROUNDUP((I104-F104)/80,0)</f>
        <v>5</v>
      </c>
      <c r="M104" s="11"/>
      <c r="N104" s="35"/>
      <c r="O104" s="35"/>
      <c r="P104" s="35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2:35" ht="12.75" customHeight="1" x14ac:dyDescent="0.2">
      <c r="B105" s="22"/>
      <c r="D105" s="11" t="s">
        <v>204</v>
      </c>
      <c r="E105" s="11">
        <v>13</v>
      </c>
      <c r="F105" s="337">
        <v>65650</v>
      </c>
      <c r="G105" s="339"/>
      <c r="H105" s="11"/>
      <c r="I105" s="337">
        <v>66150</v>
      </c>
      <c r="J105" s="339"/>
      <c r="K105" s="31" t="s">
        <v>25</v>
      </c>
      <c r="L105" s="13"/>
      <c r="M105" s="11"/>
      <c r="N105" s="35">
        <f>(I105-F105)/5280</f>
        <v>9.4696969696969696E-2</v>
      </c>
      <c r="O105" s="35"/>
      <c r="P105" s="35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2:35" ht="12.75" customHeight="1" x14ac:dyDescent="0.2">
      <c r="B106" s="22"/>
      <c r="D106" s="11" t="s">
        <v>205</v>
      </c>
      <c r="E106" s="11">
        <v>13</v>
      </c>
      <c r="F106" s="337">
        <v>65650</v>
      </c>
      <c r="G106" s="339"/>
      <c r="H106" s="11"/>
      <c r="I106" s="337">
        <v>66150</v>
      </c>
      <c r="J106" s="339"/>
      <c r="K106" s="31" t="s">
        <v>24</v>
      </c>
      <c r="L106" s="13"/>
      <c r="M106" s="11"/>
      <c r="N106" s="35">
        <f>(I106-F106)/5280</f>
        <v>9.4696969696969696E-2</v>
      </c>
      <c r="O106" s="35"/>
      <c r="P106" s="35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2:35" ht="12.75" customHeight="1" x14ac:dyDescent="0.2">
      <c r="B107" s="22"/>
      <c r="D107" s="11" t="s">
        <v>206</v>
      </c>
      <c r="E107" s="11">
        <v>13</v>
      </c>
      <c r="F107" s="337">
        <v>65650</v>
      </c>
      <c r="G107" s="339"/>
      <c r="H107" s="11"/>
      <c r="I107" s="337">
        <v>66150</v>
      </c>
      <c r="J107" s="339"/>
      <c r="K107" s="31" t="s">
        <v>24</v>
      </c>
      <c r="L107" s="13"/>
      <c r="M107" s="54">
        <f>ROUNDUP((I107-F107)/80,0)</f>
        <v>7</v>
      </c>
      <c r="N107" s="35"/>
      <c r="O107" s="35"/>
      <c r="P107" s="35">
        <f>(I107-F107)/5280</f>
        <v>9.4696969696969696E-2</v>
      </c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2:35" ht="12.75" customHeight="1" x14ac:dyDescent="0.2">
      <c r="B108" s="22"/>
      <c r="D108" s="11" t="s">
        <v>590</v>
      </c>
      <c r="E108" s="11">
        <v>13</v>
      </c>
      <c r="F108" s="337">
        <v>65650</v>
      </c>
      <c r="G108" s="339"/>
      <c r="H108" s="11"/>
      <c r="I108" s="337">
        <v>66150</v>
      </c>
      <c r="J108" s="339"/>
      <c r="K108" s="31" t="s">
        <v>24</v>
      </c>
      <c r="L108" s="53">
        <f>ROUNDUP((I108-F108)/80,0)</f>
        <v>7</v>
      </c>
      <c r="M108" s="11"/>
      <c r="N108" s="35"/>
      <c r="O108" s="35"/>
      <c r="P108" s="35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2:35" ht="12.75" customHeight="1" x14ac:dyDescent="0.2">
      <c r="B109" s="22"/>
      <c r="D109" s="11" t="s">
        <v>207</v>
      </c>
      <c r="E109" s="11">
        <v>14</v>
      </c>
      <c r="F109" s="337">
        <v>66150</v>
      </c>
      <c r="G109" s="339"/>
      <c r="H109" s="11"/>
      <c r="I109" s="337">
        <v>66650</v>
      </c>
      <c r="J109" s="339"/>
      <c r="K109" s="31" t="s">
        <v>25</v>
      </c>
      <c r="L109" s="13"/>
      <c r="M109" s="11"/>
      <c r="N109" s="35">
        <f>(I109-F109)/5280</f>
        <v>9.4696969696969696E-2</v>
      </c>
      <c r="O109" s="35"/>
      <c r="P109" s="35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2:35" ht="12.75" customHeight="1" thickBot="1" x14ac:dyDescent="0.25">
      <c r="B110" s="23"/>
      <c r="D110" s="11" t="s">
        <v>208</v>
      </c>
      <c r="E110" s="11">
        <v>14</v>
      </c>
      <c r="F110" s="337">
        <v>66150</v>
      </c>
      <c r="G110" s="339"/>
      <c r="H110" s="11"/>
      <c r="I110" s="337">
        <v>66650</v>
      </c>
      <c r="J110" s="339"/>
      <c r="K110" s="31" t="s">
        <v>24</v>
      </c>
      <c r="L110" s="13"/>
      <c r="M110" s="11"/>
      <c r="N110" s="35">
        <f>(I110-F110)/5280</f>
        <v>9.4696969696969696E-2</v>
      </c>
      <c r="O110" s="35"/>
      <c r="P110" s="35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2:35" ht="12.75" customHeight="1" x14ac:dyDescent="0.2">
      <c r="B111" s="5" t="s">
        <v>11</v>
      </c>
      <c r="D111" s="412" t="s">
        <v>2</v>
      </c>
      <c r="E111" s="413"/>
      <c r="F111" s="413"/>
      <c r="G111" s="413"/>
      <c r="H111" s="413"/>
      <c r="I111" s="413"/>
      <c r="J111" s="413"/>
      <c r="K111" s="414"/>
      <c r="L111" s="29">
        <f>IF(L8="","",IF(OR(L23="", L23="LS", L23="LUMP"),IF(SUM(COUNTIF(L24:L110,"LS")+COUNTIF(L24:L110,"LUMP"))&gt;0,"LS",""),IF(SUM(L24:L110)&gt;0,ROUNDUP(SUM(L24:L110),0),"")))</f>
        <v>116</v>
      </c>
      <c r="M111" s="14">
        <f>IF(M8="","",IF(OR(M23="", M23="LS", M23="LUMP"),IF(SUM(COUNTIF(M24:M110,"LS")+COUNTIF(M24:M110,"LUMP"))&gt;0,"LS",""),IF(SUM(M24:M110)&gt;0,ROUNDUP(SUM(M24:M110),2),"")))</f>
        <v>116</v>
      </c>
      <c r="N111" s="33">
        <f>IF(N8="","",IF(OR(N23="", N23="LS", N23="LUMP"),IF(SUM(COUNTIF(N24:N110,"LS")+COUNTIF(N24:N110,"LUMP"))&gt;0,"LS",""),IF(SUM(N24:N110)&gt;0,ROUNDUP(SUM(N24:N110),2),"")))</f>
        <v>2.57</v>
      </c>
      <c r="O111" s="28" t="str">
        <f>IF(O8="","",IF(OR(O23="", O23="LS", O23="LUMP"),IF(SUM(COUNTIF(O24:O110,"LS")+COUNTIF(O24:O110,"LUMP"))&gt;0,"LS",""),IF(SUM(O24:O110)&gt;0,ROUNDUP(SUM(O24:O110),0),"")))</f>
        <v/>
      </c>
      <c r="P111" s="14">
        <f>IF(P8="","",IF(OR(P23="", P23="LS", P23="LUMP"),IF(SUM(COUNTIF(P24:P110,"LS")+COUNTIF(P24:P110,"LUMP"))&gt;0,"LS",""),IF(SUM(P24:P110)&gt;0,ROUNDUP(SUM(P24:P110),0),"")))</f>
        <v>2</v>
      </c>
      <c r="Q111" s="14">
        <f>IF(Q8="","",IF(OR(Q23="", Q23="LS", Q23="LUMP"),IF(SUM(COUNTIF(Q24:Q110,"LS")+COUNTIF(Q24:Q110,"LUMP"))&gt;0,"LS",""),IF(SUM(Q24:Q110)&gt;0,ROUNDUP(SUM(Q24:Q110),0),"")))</f>
        <v>328</v>
      </c>
      <c r="R111" s="28">
        <f>IF(R8="","",IF(OR(R23="", R23="LS", R23="LUMP"),IF(SUM(COUNTIF(R24:R110,"LS")+COUNTIF(R24:R110,"LUMP"))&gt;0,"LS",""),IF(SUM(R24:R110)&gt;0,ROUNDUP(SUM(R24:R110),2),"")))</f>
        <v>24</v>
      </c>
      <c r="S111" s="28">
        <f>IF(S8="","",IF(OR(S23="", S23="LS", S23="LUMP"),IF(SUM(COUNTIF(S24:S110,"LS")+COUNTIF(S24:S110,"LUMP"))&gt;0,"LS",""),IF(SUM(S24:S110)&gt;0,ROUNDUP(SUM(S24:S110),2),"")))</f>
        <v>248</v>
      </c>
      <c r="T111" s="14">
        <f t="shared" ref="T111:AI111" si="3">IF(T8="","",IF(OR(T23="", T23="LS", T23="LUMP"),IF(SUM(COUNTIF(T24:T110,"LS")+COUNTIF(T24:T110,"LUMP"))&gt;0,"LS",""),IF(SUM(T24:T110)&gt;0,ROUNDUP(SUM(T24:T110),0),"")))</f>
        <v>207</v>
      </c>
      <c r="U111" s="14" t="str">
        <f t="shared" si="3"/>
        <v/>
      </c>
      <c r="V111" s="14">
        <f t="shared" si="3"/>
        <v>2</v>
      </c>
      <c r="W111" s="14" t="str">
        <f t="shared" si="3"/>
        <v/>
      </c>
      <c r="X111" s="14" t="str">
        <f t="shared" si="3"/>
        <v/>
      </c>
      <c r="Y111" s="14" t="str">
        <f t="shared" si="3"/>
        <v/>
      </c>
      <c r="Z111" s="14" t="str">
        <f t="shared" si="3"/>
        <v/>
      </c>
      <c r="AA111" s="14" t="str">
        <f t="shared" si="3"/>
        <v/>
      </c>
      <c r="AB111" s="14" t="str">
        <f t="shared" si="3"/>
        <v/>
      </c>
      <c r="AC111" s="14" t="str">
        <f t="shared" si="3"/>
        <v/>
      </c>
      <c r="AD111" s="14" t="str">
        <f t="shared" si="3"/>
        <v/>
      </c>
      <c r="AE111" s="14" t="str">
        <f t="shared" si="3"/>
        <v/>
      </c>
      <c r="AF111" s="14" t="str">
        <f t="shared" si="3"/>
        <v/>
      </c>
      <c r="AG111" s="14" t="str">
        <f t="shared" si="3"/>
        <v/>
      </c>
      <c r="AH111" s="14" t="str">
        <f t="shared" si="3"/>
        <v/>
      </c>
      <c r="AI111" s="14" t="str">
        <f t="shared" si="3"/>
        <v/>
      </c>
    </row>
    <row r="112" spans="2:35" ht="12.75" customHeight="1" thickBot="1" x14ac:dyDescent="0.25"/>
    <row r="113" spans="2:35" ht="12.75" customHeight="1" thickBot="1" x14ac:dyDescent="0.25">
      <c r="B113" s="20" t="s">
        <v>9</v>
      </c>
      <c r="D113" s="295" t="str">
        <f>"SUBSUMMARY SHEET " &amp; B114</f>
        <v xml:space="preserve">SUBSUMMARY SHEET </v>
      </c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</row>
    <row r="114" spans="2:35" ht="12.75" customHeight="1" thickBot="1" x14ac:dyDescent="0.25">
      <c r="B114" s="24"/>
      <c r="D114" s="309" t="s">
        <v>7</v>
      </c>
      <c r="E114" s="309"/>
      <c r="F114" s="309"/>
      <c r="G114" s="309"/>
      <c r="H114" s="309"/>
      <c r="I114" s="309"/>
      <c r="J114" s="309"/>
      <c r="K114" s="19"/>
      <c r="L114" s="19"/>
      <c r="M114" s="19"/>
      <c r="N114" s="19" t="s">
        <v>36</v>
      </c>
      <c r="O114" s="19" t="s">
        <v>36</v>
      </c>
      <c r="P114" s="19" t="s">
        <v>39</v>
      </c>
      <c r="Q114" s="19" t="s">
        <v>40</v>
      </c>
      <c r="R114" s="19" t="s">
        <v>42</v>
      </c>
      <c r="S114" s="19" t="s">
        <v>44</v>
      </c>
      <c r="T114" s="19" t="s">
        <v>47</v>
      </c>
      <c r="U114" s="19" t="s">
        <v>49</v>
      </c>
      <c r="V114" s="19" t="s">
        <v>52</v>
      </c>
      <c r="W114" s="19" t="s">
        <v>53</v>
      </c>
      <c r="X114" s="19" t="s">
        <v>55</v>
      </c>
      <c r="Y114" s="19" t="s">
        <v>57</v>
      </c>
      <c r="Z114" s="19" t="s">
        <v>63</v>
      </c>
      <c r="AA114" s="19" t="s">
        <v>65</v>
      </c>
      <c r="AB114" s="19" t="s">
        <v>70</v>
      </c>
      <c r="AC114" s="19" t="s">
        <v>71</v>
      </c>
      <c r="AD114" s="19" t="s">
        <v>72</v>
      </c>
      <c r="AE114" s="19" t="s">
        <v>73</v>
      </c>
      <c r="AF114" s="19" t="s">
        <v>28</v>
      </c>
      <c r="AG114" s="19" t="s">
        <v>29</v>
      </c>
      <c r="AH114" s="19" t="s">
        <v>30</v>
      </c>
      <c r="AI114" s="19" t="s">
        <v>31</v>
      </c>
    </row>
    <row r="115" spans="2:35" ht="12.75" customHeight="1" thickBot="1" x14ac:dyDescent="0.25">
      <c r="D115" s="310" t="s">
        <v>8</v>
      </c>
      <c r="E115" s="310"/>
      <c r="F115" s="310"/>
      <c r="G115" s="310"/>
      <c r="H115" s="310"/>
      <c r="I115" s="310"/>
      <c r="J115" s="310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2:35" ht="12.75" customHeight="1" x14ac:dyDescent="0.2">
      <c r="B116" s="250" t="s">
        <v>10</v>
      </c>
      <c r="D116" s="360" t="s">
        <v>20</v>
      </c>
      <c r="E116" s="360" t="s">
        <v>21</v>
      </c>
      <c r="F116" s="363" t="s">
        <v>0</v>
      </c>
      <c r="G116" s="364"/>
      <c r="H116" s="364"/>
      <c r="I116" s="364"/>
      <c r="J116" s="365"/>
      <c r="K116" s="372" t="s">
        <v>23</v>
      </c>
      <c r="L116" s="7" t="str">
        <f>IF(OR(TRIM(L114)=0,TRIM(L114)=""),"",IF(IFERROR(TRIM(INDEX(QryItemNamed,MATCH(TRIM(L114),ITEM,0),2)),"")="Y","SPECIAL",LEFT(IFERROR(TRIM(INDEX(ITEM,MATCH(TRIM(L114),ITEM,0))),""),3)))</f>
        <v/>
      </c>
      <c r="M116" s="7" t="str">
        <f>IF(OR(TRIM(M114)=0,TRIM(M114)=""),"",IF(IFERROR(TRIM(INDEX(QryItemNamed,MATCH(TRIM(M114),ITEM,0),2)),"")="Y","SPECIAL",LEFT(IFERROR(TRIM(INDEX(ITEM,MATCH(TRIM(M114),ITEM,0))),""),3)))</f>
        <v/>
      </c>
      <c r="N116" s="7">
        <v>644</v>
      </c>
      <c r="O116" s="7">
        <v>644</v>
      </c>
      <c r="P116" s="7">
        <v>644</v>
      </c>
      <c r="Q116" s="7">
        <v>644</v>
      </c>
      <c r="R116" s="7">
        <v>644</v>
      </c>
      <c r="S116" s="7">
        <v>644</v>
      </c>
      <c r="T116" s="7">
        <v>644</v>
      </c>
      <c r="U116" s="7">
        <v>644</v>
      </c>
      <c r="V116" s="7">
        <v>644</v>
      </c>
      <c r="W116" s="7">
        <v>644</v>
      </c>
      <c r="X116" s="7">
        <v>644</v>
      </c>
      <c r="Y116" s="7">
        <v>644</v>
      </c>
      <c r="Z116" s="7">
        <v>644</v>
      </c>
      <c r="AA116" s="7">
        <v>644</v>
      </c>
      <c r="AB116" s="7">
        <v>618</v>
      </c>
      <c r="AC116" s="7" t="str">
        <f t="shared" ref="AC116:AI116" si="4">IF(OR(TRIM(AC114)=0,TRIM(AC114)=""),"",IF(IFERROR(TRIM(INDEX(QryItemNamed,MATCH(TRIM(AC114),ITEM,0),2)),"")="Y","SPECIAL",LEFT(IFERROR(TRIM(INDEX(ITEM,MATCH(TRIM(AC114),ITEM,0))),""),3)))</f>
        <v>618</v>
      </c>
      <c r="AD116" s="7" t="str">
        <f t="shared" si="4"/>
        <v>618</v>
      </c>
      <c r="AE116" s="7" t="str">
        <f t="shared" si="4"/>
        <v>618</v>
      </c>
      <c r="AF116" s="7" t="str">
        <f t="shared" si="4"/>
        <v>630</v>
      </c>
      <c r="AG116" s="7" t="str">
        <f t="shared" si="4"/>
        <v>630</v>
      </c>
      <c r="AH116" s="7" t="str">
        <f t="shared" si="4"/>
        <v>630</v>
      </c>
      <c r="AI116" s="7" t="str">
        <f t="shared" si="4"/>
        <v>630</v>
      </c>
    </row>
    <row r="117" spans="2:35" ht="12.75" customHeight="1" x14ac:dyDescent="0.2">
      <c r="B117" s="251"/>
      <c r="D117" s="361"/>
      <c r="E117" s="361"/>
      <c r="F117" s="366"/>
      <c r="G117" s="367"/>
      <c r="H117" s="367"/>
      <c r="I117" s="367"/>
      <c r="J117" s="368"/>
      <c r="K117" s="373"/>
      <c r="L117" s="375" t="str">
        <f>IF(OR(TRIM(L114)=0,TRIM(L114)=""),IF(L115="","",L115),IF(IFERROR(TRIM(INDEX(QryItemNamed,MATCH(TRIM(L114),ITEM,0),2)),"")="Y",TRIM(RIGHT(IFERROR(TRIM(INDEX(QryItemNamed,MATCH(TRIM(L114),ITEM,0),4)),"123456789012"),LEN(IFERROR(TRIM(INDEX(QryItemNamed,MATCH(TRIM(L114),ITEM,0),4)),"123456789012"))-9))&amp;L115,IFERROR(TRIM(INDEX(QryItemNamed,MATCH(TRIM(L114),ITEM,0),4))&amp;L115,"ITEM CODE DOES NOT EXIST IN ITEM MASTER")))</f>
        <v/>
      </c>
      <c r="M117" s="378" t="str">
        <f>IF(OR(TRIM(M114)=0,TRIM(M114)=""),IF(M115="","",M115),IF(IFERROR(TRIM(INDEX(QryItemNamed,MATCH(TRIM(M114),ITEM,0),2)),"")="Y",TRIM(RIGHT(IFERROR(TRIM(INDEX(QryItemNamed,MATCH(TRIM(M114),ITEM,0),4)),"123456789012"),LEN(IFERROR(TRIM(INDEX(QryItemNamed,MATCH(TRIM(M114),ITEM,0),4)),"123456789012"))-9))&amp;M115,IFERROR(TRIM(INDEX(QryItemNamed,MATCH(TRIM(M114),ITEM,0),4))&amp;M115,"ITEM CODE DOES NOT EXIST IN ITEM MASTER")))</f>
        <v/>
      </c>
      <c r="N117" s="381" t="s">
        <v>37</v>
      </c>
      <c r="O117" s="381" t="s">
        <v>38</v>
      </c>
      <c r="P117" s="381" t="s">
        <v>32</v>
      </c>
      <c r="Q117" s="381" t="s">
        <v>41</v>
      </c>
      <c r="R117" s="381" t="s">
        <v>43</v>
      </c>
      <c r="S117" s="381" t="s">
        <v>45</v>
      </c>
      <c r="T117" s="381" t="s">
        <v>48</v>
      </c>
      <c r="U117" s="381" t="s">
        <v>50</v>
      </c>
      <c r="V117" s="381" t="s">
        <v>59</v>
      </c>
      <c r="W117" s="381" t="s">
        <v>54</v>
      </c>
      <c r="X117" s="381" t="s">
        <v>56</v>
      </c>
      <c r="Y117" s="381" t="s">
        <v>58</v>
      </c>
      <c r="Z117" s="382" t="s">
        <v>64</v>
      </c>
      <c r="AA117" s="383" t="s">
        <v>66</v>
      </c>
      <c r="AB117" s="382" t="s">
        <v>74</v>
      </c>
      <c r="AC117" s="382" t="str">
        <f t="shared" ref="AC117:AI117" si="5">IF(OR(TRIM(AC114)=0,TRIM(AC114)=""),IF(AC115="","",AC115),IF(IFERROR(TRIM(INDEX(QryItemNamed,MATCH(TRIM(AC114),ITEM,0),2)),"")="Y",TRIM(RIGHT(IFERROR(TRIM(INDEX(QryItemNamed,MATCH(TRIM(AC114),ITEM,0),4)),"123456789012"),LEN(IFERROR(TRIM(INDEX(QryItemNamed,MATCH(TRIM(AC114),ITEM,0),4)),"123456789012"))-9))&amp;AC115,IFERROR(TRIM(INDEX(QryItemNamed,MATCH(TRIM(AC114),ITEM,0),4))&amp;AC115,"ITEM CODE DOES NOT EXIST IN ITEM MASTER")))</f>
        <v>RUMBLE STRIPES, EDGE LINE (CONCRETE)</v>
      </c>
      <c r="AD117" s="382" t="str">
        <f t="shared" si="5"/>
        <v>RUMBLE STRIPES, CENTER LINE (ASPHALT CONCRETE)</v>
      </c>
      <c r="AE117" s="382" t="str">
        <f t="shared" si="5"/>
        <v>RUMBLE STRIPES, CENTER LINE (CONCRETE)</v>
      </c>
      <c r="AF117" s="382" t="str">
        <f t="shared" si="5"/>
        <v>GROUND MOUNTED SUPPORT, NO. 3 POST</v>
      </c>
      <c r="AG117" s="382" t="str">
        <f t="shared" si="5"/>
        <v>SIGN, FLAT SHEET</v>
      </c>
      <c r="AH117" s="382" t="str">
        <f t="shared" si="5"/>
        <v>REMOVAL OF GROUND MOUNTED SIGN AND DISPOSAL</v>
      </c>
      <c r="AI117" s="382" t="str">
        <f t="shared" si="5"/>
        <v>REMOVAL OF GROUND MOUNTED POST SUPPORT AND DISPOSAL</v>
      </c>
    </row>
    <row r="118" spans="2:35" ht="12.75" customHeight="1" x14ac:dyDescent="0.2">
      <c r="B118" s="251"/>
      <c r="D118" s="361"/>
      <c r="E118" s="361"/>
      <c r="F118" s="366"/>
      <c r="G118" s="367"/>
      <c r="H118" s="367"/>
      <c r="I118" s="367"/>
      <c r="J118" s="368"/>
      <c r="K118" s="373"/>
      <c r="L118" s="376"/>
      <c r="M118" s="379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2"/>
      <c r="AA118" s="384"/>
      <c r="AB118" s="382"/>
      <c r="AC118" s="382"/>
      <c r="AD118" s="382"/>
      <c r="AE118" s="382"/>
      <c r="AF118" s="382"/>
      <c r="AG118" s="382"/>
      <c r="AH118" s="382"/>
      <c r="AI118" s="382"/>
    </row>
    <row r="119" spans="2:35" ht="12.75" customHeight="1" x14ac:dyDescent="0.2">
      <c r="B119" s="251"/>
      <c r="D119" s="361"/>
      <c r="E119" s="361"/>
      <c r="F119" s="366"/>
      <c r="G119" s="367"/>
      <c r="H119" s="367"/>
      <c r="I119" s="367"/>
      <c r="J119" s="368"/>
      <c r="K119" s="373"/>
      <c r="L119" s="376"/>
      <c r="M119" s="379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2"/>
      <c r="AA119" s="384"/>
      <c r="AB119" s="382"/>
      <c r="AC119" s="382"/>
      <c r="AD119" s="382"/>
      <c r="AE119" s="382"/>
      <c r="AF119" s="382"/>
      <c r="AG119" s="382"/>
      <c r="AH119" s="382"/>
      <c r="AI119" s="382"/>
    </row>
    <row r="120" spans="2:35" ht="12.75" customHeight="1" x14ac:dyDescent="0.2">
      <c r="B120" s="251"/>
      <c r="D120" s="361"/>
      <c r="E120" s="361"/>
      <c r="F120" s="366"/>
      <c r="G120" s="367"/>
      <c r="H120" s="367"/>
      <c r="I120" s="367"/>
      <c r="J120" s="368"/>
      <c r="K120" s="373"/>
      <c r="L120" s="376"/>
      <c r="M120" s="379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2"/>
      <c r="AA120" s="384"/>
      <c r="AB120" s="382"/>
      <c r="AC120" s="382"/>
      <c r="AD120" s="382"/>
      <c r="AE120" s="382"/>
      <c r="AF120" s="382"/>
      <c r="AG120" s="382"/>
      <c r="AH120" s="382"/>
      <c r="AI120" s="382"/>
    </row>
    <row r="121" spans="2:35" ht="12.75" customHeight="1" x14ac:dyDescent="0.2">
      <c r="B121" s="251"/>
      <c r="D121" s="361"/>
      <c r="E121" s="361"/>
      <c r="F121" s="366"/>
      <c r="G121" s="367"/>
      <c r="H121" s="367"/>
      <c r="I121" s="367"/>
      <c r="J121" s="368"/>
      <c r="K121" s="373"/>
      <c r="L121" s="376"/>
      <c r="M121" s="379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2"/>
      <c r="AA121" s="384"/>
      <c r="AB121" s="382"/>
      <c r="AC121" s="382"/>
      <c r="AD121" s="382"/>
      <c r="AE121" s="382"/>
      <c r="AF121" s="382"/>
      <c r="AG121" s="382"/>
      <c r="AH121" s="382"/>
      <c r="AI121" s="382"/>
    </row>
    <row r="122" spans="2:35" ht="12.75" customHeight="1" x14ac:dyDescent="0.2">
      <c r="B122" s="251"/>
      <c r="D122" s="361"/>
      <c r="E122" s="361"/>
      <c r="F122" s="366"/>
      <c r="G122" s="367"/>
      <c r="H122" s="367"/>
      <c r="I122" s="367"/>
      <c r="J122" s="368"/>
      <c r="K122" s="373"/>
      <c r="L122" s="376"/>
      <c r="M122" s="379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2"/>
      <c r="AA122" s="384"/>
      <c r="AB122" s="382"/>
      <c r="AC122" s="382"/>
      <c r="AD122" s="382"/>
      <c r="AE122" s="382"/>
      <c r="AF122" s="382"/>
      <c r="AG122" s="382"/>
      <c r="AH122" s="382"/>
      <c r="AI122" s="382"/>
    </row>
    <row r="123" spans="2:35" ht="12.75" customHeight="1" x14ac:dyDescent="0.2">
      <c r="B123" s="251"/>
      <c r="D123" s="361"/>
      <c r="E123" s="361"/>
      <c r="F123" s="366"/>
      <c r="G123" s="367"/>
      <c r="H123" s="367"/>
      <c r="I123" s="367"/>
      <c r="J123" s="368"/>
      <c r="K123" s="373"/>
      <c r="L123" s="376"/>
      <c r="M123" s="379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2"/>
      <c r="AA123" s="384"/>
      <c r="AB123" s="382"/>
      <c r="AC123" s="382"/>
      <c r="AD123" s="382"/>
      <c r="AE123" s="382"/>
      <c r="AF123" s="382"/>
      <c r="AG123" s="382"/>
      <c r="AH123" s="382"/>
      <c r="AI123" s="382"/>
    </row>
    <row r="124" spans="2:35" ht="12.75" customHeight="1" x14ac:dyDescent="0.2">
      <c r="B124" s="251"/>
      <c r="D124" s="361"/>
      <c r="E124" s="361"/>
      <c r="F124" s="366"/>
      <c r="G124" s="367"/>
      <c r="H124" s="367"/>
      <c r="I124" s="367"/>
      <c r="J124" s="368"/>
      <c r="K124" s="373"/>
      <c r="L124" s="376"/>
      <c r="M124" s="379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2"/>
      <c r="AA124" s="384"/>
      <c r="AB124" s="382"/>
      <c r="AC124" s="382"/>
      <c r="AD124" s="382"/>
      <c r="AE124" s="382"/>
      <c r="AF124" s="382"/>
      <c r="AG124" s="382"/>
      <c r="AH124" s="382"/>
      <c r="AI124" s="382"/>
    </row>
    <row r="125" spans="2:35" ht="12.75" customHeight="1" x14ac:dyDescent="0.2">
      <c r="B125" s="251"/>
      <c r="D125" s="361"/>
      <c r="E125" s="361"/>
      <c r="F125" s="366"/>
      <c r="G125" s="367"/>
      <c r="H125" s="367"/>
      <c r="I125" s="367"/>
      <c r="J125" s="368"/>
      <c r="K125" s="373"/>
      <c r="L125" s="376"/>
      <c r="M125" s="379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2"/>
      <c r="AA125" s="384"/>
      <c r="AB125" s="382"/>
      <c r="AC125" s="382"/>
      <c r="AD125" s="382"/>
      <c r="AE125" s="382"/>
      <c r="AF125" s="382"/>
      <c r="AG125" s="382"/>
      <c r="AH125" s="382"/>
      <c r="AI125" s="382"/>
    </row>
    <row r="126" spans="2:35" ht="12.75" customHeight="1" x14ac:dyDescent="0.2">
      <c r="B126" s="251"/>
      <c r="D126" s="361"/>
      <c r="E126" s="361"/>
      <c r="F126" s="366"/>
      <c r="G126" s="367"/>
      <c r="H126" s="367"/>
      <c r="I126" s="367"/>
      <c r="J126" s="368"/>
      <c r="K126" s="373"/>
      <c r="L126" s="376"/>
      <c r="M126" s="379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2"/>
      <c r="AA126" s="384"/>
      <c r="AB126" s="382"/>
      <c r="AC126" s="382"/>
      <c r="AD126" s="382"/>
      <c r="AE126" s="382"/>
      <c r="AF126" s="382"/>
      <c r="AG126" s="382"/>
      <c r="AH126" s="382"/>
      <c r="AI126" s="382"/>
    </row>
    <row r="127" spans="2:35" ht="12.75" customHeight="1" x14ac:dyDescent="0.2">
      <c r="B127" s="251"/>
      <c r="D127" s="361"/>
      <c r="E127" s="361"/>
      <c r="F127" s="366"/>
      <c r="G127" s="367"/>
      <c r="H127" s="367"/>
      <c r="I127" s="367"/>
      <c r="J127" s="368"/>
      <c r="K127" s="373"/>
      <c r="L127" s="376"/>
      <c r="M127" s="379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2"/>
      <c r="AA127" s="384"/>
      <c r="AB127" s="382"/>
      <c r="AC127" s="382"/>
      <c r="AD127" s="382"/>
      <c r="AE127" s="382"/>
      <c r="AF127" s="382"/>
      <c r="AG127" s="382"/>
      <c r="AH127" s="382"/>
      <c r="AI127" s="382"/>
    </row>
    <row r="128" spans="2:35" ht="12.75" customHeight="1" x14ac:dyDescent="0.2">
      <c r="B128" s="251"/>
      <c r="D128" s="361"/>
      <c r="E128" s="361"/>
      <c r="F128" s="366"/>
      <c r="G128" s="367"/>
      <c r="H128" s="367"/>
      <c r="I128" s="367"/>
      <c r="J128" s="368"/>
      <c r="K128" s="373"/>
      <c r="L128" s="377"/>
      <c r="M128" s="380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2"/>
      <c r="AA128" s="385"/>
      <c r="AB128" s="382"/>
      <c r="AC128" s="382"/>
      <c r="AD128" s="382"/>
      <c r="AE128" s="382"/>
      <c r="AF128" s="382"/>
      <c r="AG128" s="382"/>
      <c r="AH128" s="382"/>
      <c r="AI128" s="382"/>
    </row>
    <row r="129" spans="2:35" ht="12.75" customHeight="1" thickBot="1" x14ac:dyDescent="0.25">
      <c r="B129" s="252"/>
      <c r="D129" s="362"/>
      <c r="E129" s="362"/>
      <c r="F129" s="369"/>
      <c r="G129" s="370"/>
      <c r="H129" s="370"/>
      <c r="I129" s="370"/>
      <c r="J129" s="371"/>
      <c r="K129" s="374"/>
      <c r="L129" s="8" t="str">
        <f t="shared" ref="L129:Q129" si="6">IF(OR(TRIM(L114)=0,TRIM(L114)=""),"",IFERROR(TRIM(INDEX(QryItemNamed,MATCH(TRIM(L114),ITEM,0),3)),""))</f>
        <v/>
      </c>
      <c r="M129" s="8" t="str">
        <f t="shared" si="6"/>
        <v/>
      </c>
      <c r="N129" s="8" t="str">
        <f t="shared" si="6"/>
        <v>MILE</v>
      </c>
      <c r="O129" s="8" t="str">
        <f t="shared" si="6"/>
        <v>MILE</v>
      </c>
      <c r="P129" s="8" t="str">
        <f t="shared" si="6"/>
        <v>MILE</v>
      </c>
      <c r="Q129" s="8" t="str">
        <f t="shared" si="6"/>
        <v>FT</v>
      </c>
      <c r="R129" s="8" t="s">
        <v>46</v>
      </c>
      <c r="S129" s="8" t="s">
        <v>46</v>
      </c>
      <c r="T129" s="8" t="s">
        <v>46</v>
      </c>
      <c r="U129" s="8" t="s">
        <v>51</v>
      </c>
      <c r="V129" s="8" t="s">
        <v>51</v>
      </c>
      <c r="W129" s="8" t="s">
        <v>51</v>
      </c>
      <c r="X129" s="8" t="str">
        <f>IF(OR(TRIM(X114)=0,TRIM(X114)=""),"",IFERROR(TRIM(INDEX(QryItemNamed,MATCH(TRIM(X114),ITEM,0),3)),""))</f>
        <v>FT</v>
      </c>
      <c r="Y129" s="8" t="s">
        <v>46</v>
      </c>
      <c r="Z129" s="8" t="str">
        <f t="shared" ref="Z129:AE129" si="7">IF(OR(TRIM(Z114)=0,TRIM(Z114)=""),"",IFERROR(TRIM(INDEX(QryItemNamed,MATCH(TRIM(Z114),ITEM,0),3)),""))</f>
        <v>FT</v>
      </c>
      <c r="AA129" s="8" t="str">
        <f t="shared" si="7"/>
        <v>EACH</v>
      </c>
      <c r="AB129" s="8" t="str">
        <f t="shared" si="7"/>
        <v>MILE</v>
      </c>
      <c r="AC129" s="8" t="str">
        <f t="shared" si="7"/>
        <v>MILE</v>
      </c>
      <c r="AD129" s="8" t="str">
        <f t="shared" si="7"/>
        <v>MILE</v>
      </c>
      <c r="AE129" s="8" t="str">
        <f t="shared" si="7"/>
        <v>MILE</v>
      </c>
      <c r="AF129" s="8" t="str">
        <f>IF(OR(TRIM(AF114)=0,TRIM(AF114)=""),"",IFERROR(TRIM(INDEX(QryItemNamed,MATCH(TRIM(AF114),ITEM,0),3)),""))</f>
        <v>FT</v>
      </c>
      <c r="AG129" s="8" t="str">
        <f>IF(OR(TRIM(AG114)=0,TRIM(AG114)=""),"",IFERROR(TRIM(INDEX(QryItemNamed,MATCH(TRIM(AG114),ITEM,0),3)),""))</f>
        <v>SF</v>
      </c>
      <c r="AH129" s="8" t="str">
        <f>IF(OR(TRIM(AH114)=0,TRIM(AH114)=""),"",IFERROR(TRIM(INDEX(QryItemNamed,MATCH(TRIM(AH114),ITEM,0),3)),""))</f>
        <v>EACH</v>
      </c>
      <c r="AI129" s="8" t="str">
        <f>IF(OR(TRIM(AI114)=0,TRIM(AI114)=""),"",IFERROR(TRIM(INDEX(QryItemNamed,MATCH(TRIM(AI114),ITEM,0),3)),""))</f>
        <v>EACH</v>
      </c>
    </row>
    <row r="130" spans="2:35" ht="12.75" customHeight="1" x14ac:dyDescent="0.2">
      <c r="B130" s="21"/>
      <c r="D130" s="11" t="s">
        <v>209</v>
      </c>
      <c r="E130" s="11">
        <v>14</v>
      </c>
      <c r="F130" s="337">
        <v>66150</v>
      </c>
      <c r="G130" s="339"/>
      <c r="H130" s="11"/>
      <c r="I130" s="337">
        <v>66650</v>
      </c>
      <c r="J130" s="339"/>
      <c r="K130" s="31" t="s">
        <v>35</v>
      </c>
      <c r="L130" s="13"/>
      <c r="M130" s="54">
        <f>ROUNDUP((I130-F130)/80,0)</f>
        <v>7</v>
      </c>
      <c r="N130" s="35"/>
      <c r="O130" s="35"/>
      <c r="P130" s="35">
        <f>(I130-F130)/5280</f>
        <v>9.4696969696969696E-2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2:35" ht="12.75" customHeight="1" x14ac:dyDescent="0.2">
      <c r="B131" s="21"/>
      <c r="D131" s="11" t="s">
        <v>591</v>
      </c>
      <c r="E131" s="11">
        <v>14</v>
      </c>
      <c r="F131" s="337">
        <v>66150</v>
      </c>
      <c r="G131" s="339"/>
      <c r="H131" s="11"/>
      <c r="I131" s="337">
        <v>66650</v>
      </c>
      <c r="J131" s="339"/>
      <c r="K131" s="31" t="s">
        <v>35</v>
      </c>
      <c r="L131" s="53">
        <f>ROUNDUP((I131-F131)/80,0)</f>
        <v>7</v>
      </c>
      <c r="M131" s="11"/>
      <c r="N131" s="35"/>
      <c r="O131" s="35"/>
      <c r="P131" s="35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</row>
    <row r="132" spans="2:35" ht="12.75" customHeight="1" x14ac:dyDescent="0.2">
      <c r="B132" s="22"/>
      <c r="D132" s="11" t="s">
        <v>210</v>
      </c>
      <c r="E132" s="11">
        <v>15</v>
      </c>
      <c r="F132" s="337">
        <v>66650</v>
      </c>
      <c r="G132" s="339"/>
      <c r="H132" s="11"/>
      <c r="I132" s="337">
        <v>67150</v>
      </c>
      <c r="J132" s="339"/>
      <c r="K132" s="31" t="s">
        <v>25</v>
      </c>
      <c r="L132" s="13"/>
      <c r="M132" s="11"/>
      <c r="N132" s="35">
        <f>(I132-F132)/5280</f>
        <v>9.4696969696969696E-2</v>
      </c>
      <c r="O132" s="35"/>
      <c r="P132" s="35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2:35" ht="12.75" customHeight="1" x14ac:dyDescent="0.2">
      <c r="B133" s="22"/>
      <c r="D133" s="11" t="s">
        <v>211</v>
      </c>
      <c r="E133" s="11">
        <v>15</v>
      </c>
      <c r="F133" s="337">
        <v>66650</v>
      </c>
      <c r="G133" s="339"/>
      <c r="H133" s="11"/>
      <c r="I133" s="337">
        <v>67150</v>
      </c>
      <c r="J133" s="339"/>
      <c r="K133" s="31" t="s">
        <v>24</v>
      </c>
      <c r="L133" s="13"/>
      <c r="M133" s="11"/>
      <c r="N133" s="35">
        <f>(I133-F133)/5280</f>
        <v>9.4696969696969696E-2</v>
      </c>
      <c r="O133" s="35"/>
      <c r="P133" s="35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2:35" ht="12.75" customHeight="1" x14ac:dyDescent="0.2">
      <c r="B134" s="22"/>
      <c r="D134" s="11" t="s">
        <v>212</v>
      </c>
      <c r="E134" s="11">
        <v>15</v>
      </c>
      <c r="F134" s="337">
        <v>66650</v>
      </c>
      <c r="G134" s="339"/>
      <c r="H134" s="11"/>
      <c r="I134" s="337">
        <v>66920</v>
      </c>
      <c r="J134" s="339"/>
      <c r="K134" s="31" t="s">
        <v>35</v>
      </c>
      <c r="L134" s="13"/>
      <c r="M134" s="54">
        <f>ROUNDUP((I134-F134)/80,0)</f>
        <v>4</v>
      </c>
      <c r="N134" s="35"/>
      <c r="O134" s="35"/>
      <c r="P134" s="35">
        <f>(I134-F134)/5280</f>
        <v>5.113636363636364E-2</v>
      </c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2:35" ht="12.75" customHeight="1" x14ac:dyDescent="0.2">
      <c r="B135" s="22"/>
      <c r="D135" s="11" t="s">
        <v>592</v>
      </c>
      <c r="E135" s="11">
        <v>15</v>
      </c>
      <c r="F135" s="337">
        <v>66650</v>
      </c>
      <c r="G135" s="339"/>
      <c r="H135" s="11"/>
      <c r="I135" s="337">
        <v>66920</v>
      </c>
      <c r="J135" s="339"/>
      <c r="K135" s="31" t="s">
        <v>35</v>
      </c>
      <c r="L135" s="53">
        <f>ROUNDUP((I135-F135)/80,0)</f>
        <v>4</v>
      </c>
      <c r="M135" s="11"/>
      <c r="N135" s="35"/>
      <c r="O135" s="35"/>
      <c r="P135" s="35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2:35" ht="12.75" customHeight="1" x14ac:dyDescent="0.2">
      <c r="B136" s="22"/>
      <c r="D136" s="11" t="s">
        <v>213</v>
      </c>
      <c r="E136" s="11">
        <v>15</v>
      </c>
      <c r="F136" s="337">
        <v>66920</v>
      </c>
      <c r="G136" s="339"/>
      <c r="H136" s="11"/>
      <c r="I136" s="337">
        <v>67150</v>
      </c>
      <c r="J136" s="339"/>
      <c r="K136" s="31" t="s">
        <v>35</v>
      </c>
      <c r="L136" s="13"/>
      <c r="M136" s="54">
        <f>ROUNDUP((I136-F136)/80,0)</f>
        <v>3</v>
      </c>
      <c r="N136" s="35"/>
      <c r="O136" s="35"/>
      <c r="P136" s="35">
        <f>(I136-F136)/5280</f>
        <v>4.3560606060606064E-2</v>
      </c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2:35" ht="12.75" customHeight="1" x14ac:dyDescent="0.2">
      <c r="B137" s="22"/>
      <c r="D137" s="11" t="s">
        <v>593</v>
      </c>
      <c r="E137" s="11">
        <v>15</v>
      </c>
      <c r="F137" s="337">
        <v>66920</v>
      </c>
      <c r="G137" s="339"/>
      <c r="H137" s="11"/>
      <c r="I137" s="337">
        <v>67150</v>
      </c>
      <c r="J137" s="339"/>
      <c r="K137" s="31" t="s">
        <v>35</v>
      </c>
      <c r="L137" s="53">
        <f>ROUNDUP((I137-F137)/80,0)</f>
        <v>3</v>
      </c>
      <c r="M137" s="11"/>
      <c r="N137" s="35"/>
      <c r="O137" s="35"/>
      <c r="P137" s="35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2:35" ht="12.75" customHeight="1" x14ac:dyDescent="0.2">
      <c r="B138" s="22"/>
      <c r="D138" s="11" t="s">
        <v>214</v>
      </c>
      <c r="E138" s="11">
        <v>16</v>
      </c>
      <c r="F138" s="337">
        <v>67150</v>
      </c>
      <c r="G138" s="339"/>
      <c r="H138" s="11"/>
      <c r="I138" s="337">
        <v>67650</v>
      </c>
      <c r="J138" s="339"/>
      <c r="K138" s="31" t="s">
        <v>25</v>
      </c>
      <c r="L138" s="13"/>
      <c r="M138" s="11"/>
      <c r="N138" s="35">
        <f>(I138-F138)/5280</f>
        <v>9.4696969696969696E-2</v>
      </c>
      <c r="O138" s="35"/>
      <c r="P138" s="35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2:35" ht="12.75" customHeight="1" x14ac:dyDescent="0.2">
      <c r="B139" s="22"/>
      <c r="D139" s="11" t="s">
        <v>215</v>
      </c>
      <c r="E139" s="11">
        <v>16</v>
      </c>
      <c r="F139" s="337">
        <v>67150</v>
      </c>
      <c r="G139" s="339"/>
      <c r="H139" s="11"/>
      <c r="I139" s="337">
        <v>67650</v>
      </c>
      <c r="J139" s="339"/>
      <c r="K139" s="31" t="s">
        <v>24</v>
      </c>
      <c r="L139" s="13"/>
      <c r="M139" s="11"/>
      <c r="N139" s="35">
        <f>(I139-F139)/5280</f>
        <v>9.4696969696969696E-2</v>
      </c>
      <c r="O139" s="35"/>
      <c r="P139" s="35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2:35" ht="12.75" customHeight="1" x14ac:dyDescent="0.2">
      <c r="B140" s="22"/>
      <c r="D140" s="11" t="s">
        <v>216</v>
      </c>
      <c r="E140" s="11">
        <v>16</v>
      </c>
      <c r="F140" s="337">
        <v>67150</v>
      </c>
      <c r="G140" s="339"/>
      <c r="H140" s="11"/>
      <c r="I140" s="337">
        <v>67650</v>
      </c>
      <c r="J140" s="339"/>
      <c r="K140" s="31" t="s">
        <v>35</v>
      </c>
      <c r="L140" s="13"/>
      <c r="M140" s="54">
        <f>ROUNDUP((I140-F140)/80,0)</f>
        <v>7</v>
      </c>
      <c r="N140" s="35"/>
      <c r="O140" s="35"/>
      <c r="P140" s="35">
        <f>(I140-F140)/5280</f>
        <v>9.4696969696969696E-2</v>
      </c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2:35" ht="12.75" customHeight="1" x14ac:dyDescent="0.2">
      <c r="B141" s="22"/>
      <c r="D141" s="11" t="s">
        <v>594</v>
      </c>
      <c r="E141" s="11">
        <v>16</v>
      </c>
      <c r="F141" s="337">
        <v>67150</v>
      </c>
      <c r="G141" s="339"/>
      <c r="H141" s="11"/>
      <c r="I141" s="337">
        <v>67650</v>
      </c>
      <c r="J141" s="339"/>
      <c r="K141" s="31" t="s">
        <v>35</v>
      </c>
      <c r="L141" s="53">
        <f>ROUNDUP((I141-F141)/80,0)</f>
        <v>7</v>
      </c>
      <c r="M141" s="11"/>
      <c r="N141" s="35"/>
      <c r="O141" s="35"/>
      <c r="P141" s="35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2:35" ht="12.75" customHeight="1" x14ac:dyDescent="0.2">
      <c r="B142" s="22"/>
      <c r="D142" s="11" t="s">
        <v>217</v>
      </c>
      <c r="E142" s="11">
        <v>17</v>
      </c>
      <c r="F142" s="337">
        <v>67650</v>
      </c>
      <c r="G142" s="339"/>
      <c r="H142" s="11"/>
      <c r="I142" s="337">
        <v>68150</v>
      </c>
      <c r="J142" s="339"/>
      <c r="K142" s="31" t="s">
        <v>25</v>
      </c>
      <c r="L142" s="13"/>
      <c r="M142" s="11"/>
      <c r="N142" s="35">
        <f>(I142-F142)/5280</f>
        <v>9.4696969696969696E-2</v>
      </c>
      <c r="O142" s="35"/>
      <c r="P142" s="35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2:35" ht="12.75" customHeight="1" x14ac:dyDescent="0.2">
      <c r="B143" s="22"/>
      <c r="D143" s="11" t="s">
        <v>218</v>
      </c>
      <c r="E143" s="11">
        <v>17</v>
      </c>
      <c r="F143" s="337">
        <v>67650</v>
      </c>
      <c r="G143" s="339"/>
      <c r="H143" s="11"/>
      <c r="I143" s="337">
        <v>68150</v>
      </c>
      <c r="J143" s="339"/>
      <c r="K143" s="31" t="s">
        <v>24</v>
      </c>
      <c r="L143" s="13"/>
      <c r="M143" s="11"/>
      <c r="N143" s="35">
        <f>(I143-F143)/5280</f>
        <v>9.4696969696969696E-2</v>
      </c>
      <c r="O143" s="35"/>
      <c r="P143" s="35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2:35" ht="12.6" customHeight="1" x14ac:dyDescent="0.2">
      <c r="B144" s="22"/>
      <c r="D144" s="11" t="s">
        <v>219</v>
      </c>
      <c r="E144" s="11">
        <v>17</v>
      </c>
      <c r="F144" s="337">
        <v>67650</v>
      </c>
      <c r="G144" s="339"/>
      <c r="H144" s="11"/>
      <c r="I144" s="337">
        <v>68150</v>
      </c>
      <c r="J144" s="339"/>
      <c r="K144" s="31" t="s">
        <v>24</v>
      </c>
      <c r="L144" s="13"/>
      <c r="M144" s="54">
        <f>ROUNDUP((I144-F144)/80,0)</f>
        <v>7</v>
      </c>
      <c r="N144" s="35"/>
      <c r="O144" s="35"/>
      <c r="P144" s="35">
        <f>(I144-F144)/5280</f>
        <v>9.4696969696969696E-2</v>
      </c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2:35" s="55" customFormat="1" ht="12.6" customHeight="1" x14ac:dyDescent="0.2">
      <c r="B145" s="56"/>
      <c r="D145" s="47" t="s">
        <v>595</v>
      </c>
      <c r="E145" s="47">
        <v>17</v>
      </c>
      <c r="F145" s="394">
        <v>67650</v>
      </c>
      <c r="G145" s="395"/>
      <c r="H145" s="47"/>
      <c r="I145" s="394">
        <v>68150</v>
      </c>
      <c r="J145" s="395"/>
      <c r="K145" s="57" t="s">
        <v>24</v>
      </c>
      <c r="L145" s="58">
        <f>ROUNDUP((I145-F145)/80,0)</f>
        <v>7</v>
      </c>
      <c r="M145" s="47"/>
      <c r="N145" s="59"/>
      <c r="O145" s="59"/>
      <c r="P145" s="59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</row>
    <row r="146" spans="2:35" ht="12.6" customHeight="1" x14ac:dyDescent="0.2">
      <c r="B146" s="22"/>
      <c r="D146" s="11" t="s">
        <v>220</v>
      </c>
      <c r="E146" s="11">
        <v>17</v>
      </c>
      <c r="F146" s="337">
        <v>67887</v>
      </c>
      <c r="G146" s="339"/>
      <c r="H146" s="11"/>
      <c r="I146" s="337">
        <v>68150</v>
      </c>
      <c r="J146" s="339"/>
      <c r="K146" s="31" t="s">
        <v>24</v>
      </c>
      <c r="L146" s="11"/>
      <c r="M146" s="54">
        <f>ROUNDUP((I146-F146)/80,0)</f>
        <v>4</v>
      </c>
      <c r="N146" s="11"/>
      <c r="O146" s="11"/>
      <c r="P146" s="35">
        <f>(I146-F146)/5280</f>
        <v>4.9810606060606062E-2</v>
      </c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2:35" s="55" customFormat="1" ht="12.6" customHeight="1" x14ac:dyDescent="0.2">
      <c r="B147" s="56"/>
      <c r="D147" s="47" t="s">
        <v>596</v>
      </c>
      <c r="E147" s="47">
        <v>17</v>
      </c>
      <c r="F147" s="394">
        <v>67887</v>
      </c>
      <c r="G147" s="395"/>
      <c r="H147" s="47"/>
      <c r="I147" s="394">
        <v>68150</v>
      </c>
      <c r="J147" s="395"/>
      <c r="K147" s="57" t="s">
        <v>24</v>
      </c>
      <c r="L147" s="58">
        <f>ROUNDUP((I147-F147)/80,0)</f>
        <v>4</v>
      </c>
      <c r="M147" s="47"/>
      <c r="N147" s="47"/>
      <c r="O147" s="47"/>
      <c r="P147" s="59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</row>
    <row r="148" spans="2:35" ht="12.75" customHeight="1" x14ac:dyDescent="0.2">
      <c r="B148" s="22"/>
      <c r="D148" s="11" t="s">
        <v>221</v>
      </c>
      <c r="E148" s="11">
        <v>17</v>
      </c>
      <c r="F148" s="337">
        <v>67887</v>
      </c>
      <c r="G148" s="339"/>
      <c r="H148" s="11"/>
      <c r="I148" s="337">
        <v>68150</v>
      </c>
      <c r="J148" s="339"/>
      <c r="K148" s="13" t="s">
        <v>35</v>
      </c>
      <c r="L148" s="11"/>
      <c r="M148" s="11"/>
      <c r="N148" s="11"/>
      <c r="O148" s="11"/>
      <c r="P148" s="11"/>
      <c r="Q148" s="11"/>
      <c r="R148" s="11"/>
      <c r="S148" s="11"/>
      <c r="T148" s="11">
        <f>1.5+2+2.5+3.5+4.5+8+9.5+11+12.5</f>
        <v>55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2:35" ht="12.75" customHeight="1" x14ac:dyDescent="0.2">
      <c r="B149" s="22"/>
      <c r="D149" s="11" t="s">
        <v>222</v>
      </c>
      <c r="E149" s="11">
        <v>18</v>
      </c>
      <c r="F149" s="337">
        <v>68150</v>
      </c>
      <c r="G149" s="339"/>
      <c r="H149" s="11"/>
      <c r="I149" s="337">
        <v>68187</v>
      </c>
      <c r="J149" s="339"/>
      <c r="K149" s="13" t="s">
        <v>25</v>
      </c>
      <c r="L149" s="11"/>
      <c r="M149" s="11"/>
      <c r="N149" s="35">
        <f>(I149-F149)/5280</f>
        <v>7.0075757575757576E-3</v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2:35" ht="12.75" customHeight="1" x14ac:dyDescent="0.2">
      <c r="B150" s="22"/>
      <c r="D150" s="11" t="s">
        <v>223</v>
      </c>
      <c r="E150" s="11">
        <v>18</v>
      </c>
      <c r="F150" s="337">
        <v>68150</v>
      </c>
      <c r="G150" s="339"/>
      <c r="H150" s="11"/>
      <c r="I150" s="337">
        <v>68187</v>
      </c>
      <c r="J150" s="339"/>
      <c r="K150" s="13" t="s">
        <v>24</v>
      </c>
      <c r="L150" s="11"/>
      <c r="M150" s="11"/>
      <c r="N150" s="35">
        <f>(I150-F150)/5280</f>
        <v>7.0075757575757576E-3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2:35" ht="12.75" customHeight="1" x14ac:dyDescent="0.2">
      <c r="B151" s="22"/>
      <c r="D151" s="11" t="s">
        <v>224</v>
      </c>
      <c r="E151" s="11">
        <v>18</v>
      </c>
      <c r="F151" s="337">
        <v>68187</v>
      </c>
      <c r="G151" s="339"/>
      <c r="H151" s="11"/>
      <c r="I151" s="337">
        <v>68399</v>
      </c>
      <c r="J151" s="339"/>
      <c r="K151" s="13" t="s">
        <v>25</v>
      </c>
      <c r="L151" s="11"/>
      <c r="M151" s="11"/>
      <c r="N151" s="35"/>
      <c r="O151" s="35">
        <f>(I151-F151)/5280</f>
        <v>4.0151515151515153E-2</v>
      </c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2:35" ht="12.75" customHeight="1" x14ac:dyDescent="0.2">
      <c r="B152" s="22"/>
      <c r="D152" s="11" t="s">
        <v>602</v>
      </c>
      <c r="E152" s="11">
        <v>18</v>
      </c>
      <c r="F152" s="337">
        <v>68187</v>
      </c>
      <c r="G152" s="339"/>
      <c r="H152" s="11"/>
      <c r="I152" s="337">
        <v>68399</v>
      </c>
      <c r="J152" s="339"/>
      <c r="K152" s="13" t="s">
        <v>25</v>
      </c>
      <c r="L152" s="53">
        <f>ROUNDUP((I152-F152)/40,0)</f>
        <v>6</v>
      </c>
      <c r="M152" s="11"/>
      <c r="N152" s="35"/>
      <c r="O152" s="35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2:35" ht="12.75" customHeight="1" x14ac:dyDescent="0.2">
      <c r="B153" s="22"/>
      <c r="D153" s="11" t="s">
        <v>225</v>
      </c>
      <c r="E153" s="11">
        <v>18</v>
      </c>
      <c r="F153" s="337">
        <v>68187</v>
      </c>
      <c r="G153" s="339"/>
      <c r="H153" s="11"/>
      <c r="I153" s="337">
        <v>68397</v>
      </c>
      <c r="J153" s="339"/>
      <c r="K153" s="13" t="s">
        <v>24</v>
      </c>
      <c r="L153" s="11"/>
      <c r="M153" s="11"/>
      <c r="N153" s="11"/>
      <c r="O153" s="35">
        <f>(I153-F153)/5280</f>
        <v>3.9772727272727272E-2</v>
      </c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2:35" ht="12.75" customHeight="1" x14ac:dyDescent="0.2">
      <c r="B154" s="22"/>
      <c r="D154" s="11" t="s">
        <v>603</v>
      </c>
      <c r="E154" s="11">
        <v>18</v>
      </c>
      <c r="F154" s="337">
        <v>68187</v>
      </c>
      <c r="G154" s="339"/>
      <c r="H154" s="11"/>
      <c r="I154" s="337">
        <v>68397</v>
      </c>
      <c r="J154" s="339"/>
      <c r="K154" s="13" t="s">
        <v>24</v>
      </c>
      <c r="L154" s="53">
        <f>ROUNDUP((I154-F154)/40,0)</f>
        <v>6</v>
      </c>
      <c r="M154" s="11"/>
      <c r="N154" s="11"/>
      <c r="O154" s="35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2:35" ht="12.75" customHeight="1" x14ac:dyDescent="0.2">
      <c r="B155" s="22"/>
      <c r="D155" s="11" t="s">
        <v>226</v>
      </c>
      <c r="E155" s="11">
        <v>18</v>
      </c>
      <c r="F155" s="337">
        <v>68397</v>
      </c>
      <c r="G155" s="339"/>
      <c r="H155" s="11"/>
      <c r="I155" s="337">
        <v>68399</v>
      </c>
      <c r="J155" s="339"/>
      <c r="K155" s="13" t="s">
        <v>35</v>
      </c>
      <c r="L155" s="11"/>
      <c r="M155" s="11"/>
      <c r="N155" s="35">
        <f>(24.5+17.5)/5280</f>
        <v>7.9545454545454537E-3</v>
      </c>
      <c r="O155" s="35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2:35" ht="12.75" customHeight="1" x14ac:dyDescent="0.2">
      <c r="B156" s="22"/>
      <c r="D156" s="11" t="s">
        <v>599</v>
      </c>
      <c r="E156" s="11">
        <v>18</v>
      </c>
      <c r="F156" s="337">
        <v>68397</v>
      </c>
      <c r="G156" s="339"/>
      <c r="H156" s="11"/>
      <c r="I156" s="337">
        <v>68399</v>
      </c>
      <c r="J156" s="339"/>
      <c r="K156" s="13" t="s">
        <v>35</v>
      </c>
      <c r="L156" s="58">
        <v>2</v>
      </c>
      <c r="M156" s="11"/>
      <c r="N156" s="35"/>
      <c r="O156" s="35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2:35" ht="12.6" customHeight="1" x14ac:dyDescent="0.2">
      <c r="B157" s="22"/>
      <c r="D157" s="11" t="s">
        <v>227</v>
      </c>
      <c r="E157" s="11">
        <v>18</v>
      </c>
      <c r="F157" s="337">
        <v>5180</v>
      </c>
      <c r="G157" s="339"/>
      <c r="H157" s="11"/>
      <c r="I157" s="337">
        <v>5179</v>
      </c>
      <c r="J157" s="339"/>
      <c r="K157" s="13" t="s">
        <v>24</v>
      </c>
      <c r="L157" s="11"/>
      <c r="M157" s="11"/>
      <c r="N157" s="35">
        <f>(19+17.5)/5280</f>
        <v>6.9128787878787882E-3</v>
      </c>
      <c r="O157" s="11"/>
      <c r="P157" s="35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2:35" ht="12.6" customHeight="1" x14ac:dyDescent="0.2">
      <c r="B158" s="22"/>
      <c r="D158" s="11" t="s">
        <v>600</v>
      </c>
      <c r="E158" s="11">
        <v>18</v>
      </c>
      <c r="F158" s="337">
        <v>5180</v>
      </c>
      <c r="G158" s="339"/>
      <c r="H158" s="11"/>
      <c r="I158" s="337">
        <v>5179</v>
      </c>
      <c r="J158" s="339"/>
      <c r="K158" s="13" t="s">
        <v>24</v>
      </c>
      <c r="L158" s="58">
        <v>2</v>
      </c>
      <c r="M158" s="11"/>
      <c r="N158" s="35"/>
      <c r="O158" s="11"/>
      <c r="P158" s="35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2:35" ht="12.75" customHeight="1" x14ac:dyDescent="0.2">
      <c r="B159" s="22"/>
      <c r="D159" s="11" t="s">
        <v>229</v>
      </c>
      <c r="E159" s="11">
        <v>18</v>
      </c>
      <c r="F159" s="337">
        <v>5100</v>
      </c>
      <c r="G159" s="339"/>
      <c r="H159" s="11"/>
      <c r="I159" s="337">
        <v>5180</v>
      </c>
      <c r="J159" s="339"/>
      <c r="K159" s="13" t="s">
        <v>24</v>
      </c>
      <c r="L159" s="11"/>
      <c r="M159" s="11"/>
      <c r="N159" s="35"/>
      <c r="O159" s="35">
        <f>(I159-F159)/5280</f>
        <v>1.5151515151515152E-2</v>
      </c>
      <c r="P159" s="35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2:35" ht="12.75" customHeight="1" x14ac:dyDescent="0.2">
      <c r="B160" s="22"/>
      <c r="D160" s="11" t="s">
        <v>604</v>
      </c>
      <c r="E160" s="11">
        <v>18</v>
      </c>
      <c r="F160" s="337">
        <v>5100</v>
      </c>
      <c r="G160" s="339"/>
      <c r="H160" s="11"/>
      <c r="I160" s="337">
        <v>5180</v>
      </c>
      <c r="J160" s="339"/>
      <c r="K160" s="13" t="s">
        <v>24</v>
      </c>
      <c r="L160" s="53">
        <f>ROUNDUP((I160-F160)/40,0)</f>
        <v>2</v>
      </c>
      <c r="M160" s="11"/>
      <c r="N160" s="35"/>
      <c r="O160" s="35"/>
      <c r="P160" s="35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2:35" ht="12.75" customHeight="1" x14ac:dyDescent="0.2">
      <c r="B161" s="22"/>
      <c r="D161" s="11" t="s">
        <v>230</v>
      </c>
      <c r="E161" s="11">
        <v>18</v>
      </c>
      <c r="F161" s="337">
        <v>5100</v>
      </c>
      <c r="G161" s="339"/>
      <c r="H161" s="11"/>
      <c r="I161" s="337">
        <v>5179</v>
      </c>
      <c r="J161" s="339"/>
      <c r="K161" s="13" t="s">
        <v>24</v>
      </c>
      <c r="L161" s="11"/>
      <c r="M161" s="11"/>
      <c r="N161" s="35"/>
      <c r="O161" s="35">
        <f>(I161-F161)/5280</f>
        <v>1.4962121212121211E-2</v>
      </c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2:35" ht="12.75" customHeight="1" x14ac:dyDescent="0.2">
      <c r="B162" s="22"/>
      <c r="D162" s="11" t="s">
        <v>605</v>
      </c>
      <c r="E162" s="11">
        <v>18</v>
      </c>
      <c r="F162" s="337">
        <v>5100</v>
      </c>
      <c r="G162" s="339"/>
      <c r="H162" s="11"/>
      <c r="I162" s="337">
        <v>5179</v>
      </c>
      <c r="J162" s="339"/>
      <c r="K162" s="13" t="s">
        <v>24</v>
      </c>
      <c r="L162" s="53">
        <f>ROUNDUP((I162-F162)/40,0)</f>
        <v>2</v>
      </c>
      <c r="M162" s="11"/>
      <c r="N162" s="35"/>
      <c r="O162" s="35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2:35" ht="12.75" customHeight="1" x14ac:dyDescent="0.2">
      <c r="B163" s="22"/>
      <c r="D163" s="11" t="s">
        <v>228</v>
      </c>
      <c r="E163" s="11">
        <v>18</v>
      </c>
      <c r="F163" s="337">
        <v>68531</v>
      </c>
      <c r="G163" s="339"/>
      <c r="H163" s="11"/>
      <c r="I163" s="337">
        <v>68534</v>
      </c>
      <c r="J163" s="339"/>
      <c r="K163" s="13" t="s">
        <v>35</v>
      </c>
      <c r="L163" s="11"/>
      <c r="M163" s="11"/>
      <c r="N163" s="35">
        <f>(26+14)/5280</f>
        <v>7.575757575757576E-3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2:35" ht="12.75" customHeight="1" x14ac:dyDescent="0.2">
      <c r="B164" s="22"/>
      <c r="D164" s="11" t="s">
        <v>601</v>
      </c>
      <c r="E164" s="11">
        <v>18</v>
      </c>
      <c r="F164" s="337">
        <v>68531</v>
      </c>
      <c r="G164" s="339"/>
      <c r="H164" s="11"/>
      <c r="I164" s="337">
        <v>68534</v>
      </c>
      <c r="J164" s="339"/>
      <c r="K164" s="13" t="s">
        <v>35</v>
      </c>
      <c r="L164" s="58">
        <v>2</v>
      </c>
      <c r="M164" s="11"/>
      <c r="N164" s="35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2:35" ht="12.75" customHeight="1" x14ac:dyDescent="0.2">
      <c r="B165" s="22"/>
      <c r="D165" s="11" t="s">
        <v>231</v>
      </c>
      <c r="E165" s="11">
        <v>18</v>
      </c>
      <c r="F165" s="337">
        <v>68534</v>
      </c>
      <c r="G165" s="339"/>
      <c r="H165" s="11"/>
      <c r="I165" s="337">
        <v>68650</v>
      </c>
      <c r="J165" s="339"/>
      <c r="K165" s="13" t="s">
        <v>25</v>
      </c>
      <c r="L165" s="11"/>
      <c r="M165" s="11"/>
      <c r="N165" s="35"/>
      <c r="O165" s="35">
        <f>(I165-F165)/5280</f>
        <v>2.1969696969696969E-2</v>
      </c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2:35" ht="12.75" customHeight="1" x14ac:dyDescent="0.2">
      <c r="B166" s="22"/>
      <c r="D166" s="11" t="s">
        <v>606</v>
      </c>
      <c r="E166" s="11">
        <v>18</v>
      </c>
      <c r="F166" s="337">
        <v>68534</v>
      </c>
      <c r="G166" s="339"/>
      <c r="H166" s="11"/>
      <c r="I166" s="337">
        <v>68650</v>
      </c>
      <c r="J166" s="339"/>
      <c r="K166" s="13" t="s">
        <v>25</v>
      </c>
      <c r="L166" s="53">
        <f>ROUNDUP((I166-F166)/40,0)</f>
        <v>3</v>
      </c>
      <c r="M166" s="11"/>
      <c r="N166" s="35"/>
      <c r="O166" s="35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2:35" ht="12.75" customHeight="1" x14ac:dyDescent="0.2">
      <c r="B167" s="22"/>
      <c r="D167" s="11" t="s">
        <v>232</v>
      </c>
      <c r="E167" s="11">
        <v>18</v>
      </c>
      <c r="F167" s="337">
        <v>68531</v>
      </c>
      <c r="G167" s="339"/>
      <c r="H167" s="11"/>
      <c r="I167" s="337">
        <v>68650</v>
      </c>
      <c r="J167" s="339"/>
      <c r="K167" s="13" t="s">
        <v>24</v>
      </c>
      <c r="L167" s="11"/>
      <c r="M167" s="11"/>
      <c r="N167" s="11"/>
      <c r="O167" s="35">
        <f>(I167-F167)/5280</f>
        <v>2.2537878787878787E-2</v>
      </c>
      <c r="P167" s="35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2:35" ht="12.75" customHeight="1" x14ac:dyDescent="0.2">
      <c r="B168" s="22"/>
      <c r="D168" s="11" t="s">
        <v>607</v>
      </c>
      <c r="E168" s="11">
        <v>18</v>
      </c>
      <c r="F168" s="337">
        <v>68531</v>
      </c>
      <c r="G168" s="339"/>
      <c r="H168" s="11"/>
      <c r="I168" s="337">
        <v>68650</v>
      </c>
      <c r="J168" s="339"/>
      <c r="K168" s="13" t="s">
        <v>24</v>
      </c>
      <c r="L168" s="53">
        <f>ROUNDUP((I168-F168)/40,0)</f>
        <v>3</v>
      </c>
      <c r="M168" s="11"/>
      <c r="N168" s="11"/>
      <c r="O168" s="35"/>
      <c r="P168" s="35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2:35" ht="12.6" customHeight="1" x14ac:dyDescent="0.2">
      <c r="B169" s="22"/>
      <c r="D169" s="11" t="s">
        <v>234</v>
      </c>
      <c r="E169" s="11">
        <v>18</v>
      </c>
      <c r="F169" s="337">
        <v>68150</v>
      </c>
      <c r="G169" s="339"/>
      <c r="H169" s="11"/>
      <c r="I169" s="337">
        <v>68187</v>
      </c>
      <c r="J169" s="339"/>
      <c r="K169" s="13" t="s">
        <v>25</v>
      </c>
      <c r="L169" s="11"/>
      <c r="M169" s="54">
        <f>ROUNDUP((I169-F169)/80,0)</f>
        <v>1</v>
      </c>
      <c r="N169" s="35"/>
      <c r="O169" s="11"/>
      <c r="P169" s="35">
        <f>(I169-F169)/5280</f>
        <v>7.0075757575757576E-3</v>
      </c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2:35" s="55" customFormat="1" ht="12.75" customHeight="1" x14ac:dyDescent="0.2">
      <c r="B170" s="56"/>
      <c r="D170" s="47" t="s">
        <v>597</v>
      </c>
      <c r="E170" s="47">
        <v>18</v>
      </c>
      <c r="F170" s="394">
        <v>68150</v>
      </c>
      <c r="G170" s="395"/>
      <c r="H170" s="47"/>
      <c r="I170" s="394">
        <v>68187</v>
      </c>
      <c r="J170" s="395"/>
      <c r="K170" s="60" t="s">
        <v>25</v>
      </c>
      <c r="L170" s="58">
        <f>ROUNDUP((I170-F170)/80,0)</f>
        <v>1</v>
      </c>
      <c r="M170" s="47"/>
      <c r="N170" s="59"/>
      <c r="O170" s="47"/>
      <c r="P170" s="59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</row>
    <row r="171" spans="2:35" ht="12.75" customHeight="1" x14ac:dyDescent="0.2">
      <c r="B171" s="22"/>
      <c r="D171" s="11" t="s">
        <v>233</v>
      </c>
      <c r="E171" s="11">
        <v>18</v>
      </c>
      <c r="F171" s="337">
        <v>68150</v>
      </c>
      <c r="G171" s="339"/>
      <c r="H171" s="11"/>
      <c r="I171" s="337">
        <v>68187</v>
      </c>
      <c r="J171" s="339"/>
      <c r="K171" s="13" t="s">
        <v>24</v>
      </c>
      <c r="L171" s="11"/>
      <c r="M171" s="54">
        <f>ROUNDUP((I171-F171)/80,0)</f>
        <v>1</v>
      </c>
      <c r="N171" s="35"/>
      <c r="O171" s="11"/>
      <c r="P171" s="35">
        <f>(I171-F171)/5280</f>
        <v>7.0075757575757576E-3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2:35" s="55" customFormat="1" ht="12.75" customHeight="1" x14ac:dyDescent="0.2">
      <c r="B172" s="56"/>
      <c r="D172" s="47" t="s">
        <v>598</v>
      </c>
      <c r="E172" s="47">
        <v>18</v>
      </c>
      <c r="F172" s="394">
        <v>68150</v>
      </c>
      <c r="G172" s="395"/>
      <c r="H172" s="47"/>
      <c r="I172" s="394">
        <v>68187</v>
      </c>
      <c r="J172" s="395"/>
      <c r="K172" s="60" t="s">
        <v>24</v>
      </c>
      <c r="L172" s="58">
        <f>ROUNDUP((I172-F172)/80,0)</f>
        <v>1</v>
      </c>
      <c r="M172" s="47"/>
      <c r="N172" s="59"/>
      <c r="O172" s="47"/>
      <c r="P172" s="59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</row>
    <row r="173" spans="2:35" ht="12.75" customHeight="1" x14ac:dyDescent="0.2">
      <c r="B173" s="22"/>
      <c r="D173" s="11" t="s">
        <v>235</v>
      </c>
      <c r="E173" s="11">
        <v>18</v>
      </c>
      <c r="F173" s="337">
        <v>68150</v>
      </c>
      <c r="G173" s="339"/>
      <c r="H173" s="11"/>
      <c r="I173" s="337">
        <v>68187</v>
      </c>
      <c r="J173" s="339"/>
      <c r="K173" s="13" t="s">
        <v>35</v>
      </c>
      <c r="L173" s="11"/>
      <c r="M173" s="11"/>
      <c r="N173" s="11"/>
      <c r="O173" s="11"/>
      <c r="P173" s="35"/>
      <c r="Q173" s="11"/>
      <c r="R173" s="11"/>
      <c r="S173" s="11"/>
      <c r="T173" s="11">
        <f>2.5+13.5+14+15</f>
        <v>45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2:35" ht="12.75" customHeight="1" x14ac:dyDescent="0.2">
      <c r="B174" s="22"/>
      <c r="D174" s="11" t="s">
        <v>256</v>
      </c>
      <c r="E174" s="11">
        <v>18</v>
      </c>
      <c r="F174" s="337">
        <v>68497</v>
      </c>
      <c r="G174" s="339"/>
      <c r="H174" s="11"/>
      <c r="I174" s="337"/>
      <c r="J174" s="339"/>
      <c r="K174" s="13" t="s">
        <v>24</v>
      </c>
      <c r="L174" s="11"/>
      <c r="M174" s="11"/>
      <c r="N174" s="35"/>
      <c r="O174" s="11"/>
      <c r="P174" s="11"/>
      <c r="Q174" s="11"/>
      <c r="R174" s="11"/>
      <c r="S174" s="11"/>
      <c r="T174" s="11"/>
      <c r="U174" s="11"/>
      <c r="V174" s="11"/>
      <c r="W174" s="11"/>
      <c r="X174" s="11">
        <f>18+24</f>
        <v>42</v>
      </c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2:35" ht="12.75" customHeight="1" x14ac:dyDescent="0.2">
      <c r="B175" s="22"/>
      <c r="D175" s="11" t="s">
        <v>257</v>
      </c>
      <c r="E175" s="11">
        <v>18</v>
      </c>
      <c r="F175" s="337">
        <v>68500</v>
      </c>
      <c r="G175" s="339"/>
      <c r="H175" s="11"/>
      <c r="I175" s="337"/>
      <c r="J175" s="339"/>
      <c r="K175" s="13" t="s">
        <v>24</v>
      </c>
      <c r="L175" s="11"/>
      <c r="M175" s="11"/>
      <c r="N175" s="35"/>
      <c r="O175" s="11"/>
      <c r="P175" s="11"/>
      <c r="Q175" s="11"/>
      <c r="R175" s="11"/>
      <c r="S175" s="11"/>
      <c r="T175" s="11"/>
      <c r="U175" s="11"/>
      <c r="V175" s="11"/>
      <c r="W175" s="11"/>
      <c r="X175" s="11">
        <f>17+23</f>
        <v>40</v>
      </c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2:35" ht="12.75" customHeight="1" x14ac:dyDescent="0.2">
      <c r="B176" s="22"/>
      <c r="D176" s="11" t="s">
        <v>258</v>
      </c>
      <c r="E176" s="11">
        <v>18</v>
      </c>
      <c r="F176" s="337">
        <v>68510</v>
      </c>
      <c r="G176" s="339"/>
      <c r="H176" s="11"/>
      <c r="I176" s="337" t="s">
        <v>60</v>
      </c>
      <c r="J176" s="339"/>
      <c r="K176" s="13" t="s">
        <v>25</v>
      </c>
      <c r="L176" s="11"/>
      <c r="M176" s="11"/>
      <c r="N176" s="11"/>
      <c r="O176" s="11"/>
      <c r="P176" s="35"/>
      <c r="Q176" s="11"/>
      <c r="R176" s="11"/>
      <c r="S176" s="11"/>
      <c r="T176" s="11"/>
      <c r="U176" s="11"/>
      <c r="V176" s="11"/>
      <c r="W176" s="11"/>
      <c r="X176" s="11">
        <f>18+14</f>
        <v>32</v>
      </c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2:35" ht="12.75" customHeight="1" x14ac:dyDescent="0.2">
      <c r="B177" s="22"/>
      <c r="D177" s="11" t="s">
        <v>236</v>
      </c>
      <c r="E177" s="11">
        <v>18</v>
      </c>
      <c r="F177" s="337">
        <v>68395</v>
      </c>
      <c r="G177" s="339"/>
      <c r="H177" s="11"/>
      <c r="I177" s="337"/>
      <c r="J177" s="339"/>
      <c r="K177" s="13" t="s">
        <v>24</v>
      </c>
      <c r="L177" s="11"/>
      <c r="M177" s="11"/>
      <c r="N177" s="11"/>
      <c r="O177" s="11"/>
      <c r="P177" s="35"/>
      <c r="Q177" s="11"/>
      <c r="R177" s="11"/>
      <c r="S177" s="11"/>
      <c r="T177" s="11"/>
      <c r="U177" s="11"/>
      <c r="V177" s="11"/>
      <c r="W177" s="11"/>
      <c r="X177" s="11"/>
      <c r="Y177" s="11">
        <v>12</v>
      </c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2:35" ht="12.75" customHeight="1" x14ac:dyDescent="0.2">
      <c r="B178" s="22"/>
      <c r="D178" s="11" t="s">
        <v>237</v>
      </c>
      <c r="E178" s="11">
        <v>18</v>
      </c>
      <c r="F178" s="337">
        <v>68486</v>
      </c>
      <c r="G178" s="339"/>
      <c r="H178" s="11"/>
      <c r="I178" s="337"/>
      <c r="J178" s="339"/>
      <c r="K178" s="13" t="s">
        <v>24</v>
      </c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>
        <v>12</v>
      </c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2:35" ht="12.75" customHeight="1" x14ac:dyDescent="0.2">
      <c r="B179" s="22"/>
      <c r="D179" s="11" t="s">
        <v>238</v>
      </c>
      <c r="E179" s="11">
        <v>18</v>
      </c>
      <c r="F179" s="337">
        <v>68434</v>
      </c>
      <c r="G179" s="339"/>
      <c r="H179" s="11"/>
      <c r="I179" s="337"/>
      <c r="J179" s="339"/>
      <c r="K179" s="13" t="s">
        <v>25</v>
      </c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>
        <v>12</v>
      </c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2:35" ht="12.75" customHeight="1" x14ac:dyDescent="0.2">
      <c r="B180" s="22"/>
      <c r="D180" s="11" t="s">
        <v>239</v>
      </c>
      <c r="E180" s="11">
        <v>19</v>
      </c>
      <c r="F180" s="337">
        <v>68650</v>
      </c>
      <c r="G180" s="339"/>
      <c r="H180" s="11"/>
      <c r="I180" s="337">
        <v>69150</v>
      </c>
      <c r="J180" s="339"/>
      <c r="K180" s="13" t="s">
        <v>25</v>
      </c>
      <c r="L180" s="11"/>
      <c r="M180" s="11"/>
      <c r="N180" s="35">
        <f>(I180-F180)/5280</f>
        <v>9.4696969696969696E-2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2:35" ht="12.75" customHeight="1" x14ac:dyDescent="0.2">
      <c r="B181" s="22"/>
      <c r="D181" s="11" t="s">
        <v>240</v>
      </c>
      <c r="E181" s="11">
        <v>19</v>
      </c>
      <c r="F181" s="337">
        <v>68650</v>
      </c>
      <c r="G181" s="339"/>
      <c r="H181" s="11"/>
      <c r="I181" s="337">
        <v>69150</v>
      </c>
      <c r="J181" s="339"/>
      <c r="K181" s="13" t="s">
        <v>24</v>
      </c>
      <c r="L181" s="11"/>
      <c r="M181" s="11"/>
      <c r="N181" s="35">
        <f>(I181-F181)/5280</f>
        <v>9.4696969696969696E-2</v>
      </c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2:35" ht="12.75" customHeight="1" x14ac:dyDescent="0.2">
      <c r="B182" s="22"/>
      <c r="D182" s="11" t="s">
        <v>241</v>
      </c>
      <c r="E182" s="11">
        <v>19</v>
      </c>
      <c r="F182" s="337">
        <v>68650</v>
      </c>
      <c r="G182" s="339"/>
      <c r="H182" s="11"/>
      <c r="I182" s="337">
        <v>68723</v>
      </c>
      <c r="J182" s="339"/>
      <c r="K182" s="13" t="s">
        <v>25</v>
      </c>
      <c r="L182" s="11"/>
      <c r="M182" s="11"/>
      <c r="N182" s="11"/>
      <c r="O182" s="35">
        <f>(I182-F182)/5280</f>
        <v>1.3825757575757576E-2</v>
      </c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2:35" ht="12.75" customHeight="1" x14ac:dyDescent="0.2">
      <c r="B183" s="22"/>
      <c r="D183" s="11" t="s">
        <v>608</v>
      </c>
      <c r="E183" s="11">
        <v>19</v>
      </c>
      <c r="F183" s="337">
        <v>68650</v>
      </c>
      <c r="G183" s="339"/>
      <c r="H183" s="11"/>
      <c r="I183" s="337">
        <v>68723</v>
      </c>
      <c r="J183" s="339"/>
      <c r="K183" s="13" t="s">
        <v>25</v>
      </c>
      <c r="L183" s="53">
        <f>ROUNDUP((I183-F183)/40,0)</f>
        <v>2</v>
      </c>
      <c r="M183" s="11"/>
      <c r="N183" s="11"/>
      <c r="O183" s="35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2:35" ht="12.75" customHeight="1" x14ac:dyDescent="0.2">
      <c r="B184" s="22"/>
      <c r="D184" s="11" t="s">
        <v>242</v>
      </c>
      <c r="E184" s="11">
        <v>19</v>
      </c>
      <c r="F184" s="337">
        <v>68650</v>
      </c>
      <c r="G184" s="339"/>
      <c r="H184" s="11"/>
      <c r="I184" s="337">
        <v>68723</v>
      </c>
      <c r="J184" s="339"/>
      <c r="K184" s="13" t="s">
        <v>24</v>
      </c>
      <c r="L184" s="11"/>
      <c r="M184" s="11"/>
      <c r="N184" s="11"/>
      <c r="O184" s="35">
        <f>(I184-F184)/5280</f>
        <v>1.3825757575757576E-2</v>
      </c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2:35" ht="12.75" customHeight="1" x14ac:dyDescent="0.2">
      <c r="B185" s="22"/>
      <c r="D185" s="11" t="s">
        <v>609</v>
      </c>
      <c r="E185" s="11">
        <v>19</v>
      </c>
      <c r="F185" s="337">
        <v>68650</v>
      </c>
      <c r="G185" s="339"/>
      <c r="H185" s="11"/>
      <c r="I185" s="337">
        <v>68723</v>
      </c>
      <c r="J185" s="339"/>
      <c r="K185" s="13" t="s">
        <v>24</v>
      </c>
      <c r="L185" s="53">
        <f>ROUNDUP((I185-F185)/40,0)</f>
        <v>2</v>
      </c>
      <c r="M185" s="11"/>
      <c r="N185" s="11"/>
      <c r="O185" s="35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2:35" ht="12.75" customHeight="1" x14ac:dyDescent="0.2">
      <c r="B186" s="22"/>
      <c r="D186" s="11" t="s">
        <v>243</v>
      </c>
      <c r="E186" s="11">
        <v>19</v>
      </c>
      <c r="F186" s="337">
        <v>68723</v>
      </c>
      <c r="G186" s="339"/>
      <c r="H186" s="11"/>
      <c r="I186" s="337">
        <v>69150</v>
      </c>
      <c r="J186" s="339"/>
      <c r="K186" s="13" t="s">
        <v>25</v>
      </c>
      <c r="L186" s="11"/>
      <c r="M186" s="11"/>
      <c r="N186" s="11"/>
      <c r="O186" s="11"/>
      <c r="P186" s="35">
        <f>(I186-F186)/5280</f>
        <v>8.0871212121212122E-2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2:35" ht="12.75" customHeight="1" x14ac:dyDescent="0.2">
      <c r="B187" s="22"/>
      <c r="D187" s="11" t="s">
        <v>610</v>
      </c>
      <c r="E187" s="11">
        <v>19</v>
      </c>
      <c r="F187" s="337">
        <v>68723</v>
      </c>
      <c r="G187" s="339"/>
      <c r="H187" s="11"/>
      <c r="I187" s="337">
        <v>69150</v>
      </c>
      <c r="J187" s="339"/>
      <c r="K187" s="13" t="s">
        <v>25</v>
      </c>
      <c r="L187" s="53">
        <f>ROUNDUP((I187-F187)/20,0)</f>
        <v>22</v>
      </c>
      <c r="M187" s="11"/>
      <c r="N187" s="11"/>
      <c r="O187" s="11"/>
      <c r="P187" s="35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2:35" ht="12.75" customHeight="1" x14ac:dyDescent="0.2">
      <c r="B188" s="22"/>
      <c r="D188" s="11" t="s">
        <v>244</v>
      </c>
      <c r="E188" s="11">
        <v>19</v>
      </c>
      <c r="F188" s="337">
        <v>68723</v>
      </c>
      <c r="G188" s="339"/>
      <c r="H188" s="11"/>
      <c r="I188" s="337">
        <v>69100</v>
      </c>
      <c r="J188" s="339"/>
      <c r="K188" s="13" t="s">
        <v>24</v>
      </c>
      <c r="L188" s="11"/>
      <c r="M188" s="11"/>
      <c r="N188" s="11"/>
      <c r="O188" s="11"/>
      <c r="P188" s="35">
        <f>(I188-F188)/5280</f>
        <v>7.1401515151515146E-2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2:35" ht="12.75" customHeight="1" x14ac:dyDescent="0.2">
      <c r="B189" s="22"/>
      <c r="D189" s="11" t="s">
        <v>611</v>
      </c>
      <c r="E189" s="11">
        <v>19</v>
      </c>
      <c r="F189" s="337">
        <v>68723</v>
      </c>
      <c r="G189" s="339"/>
      <c r="H189" s="11"/>
      <c r="I189" s="337">
        <v>69100</v>
      </c>
      <c r="J189" s="339"/>
      <c r="K189" s="13" t="s">
        <v>24</v>
      </c>
      <c r="L189" s="53">
        <f>ROUNDUP((I189-F189)/20,0)</f>
        <v>19</v>
      </c>
      <c r="M189" s="11"/>
      <c r="N189" s="11"/>
      <c r="O189" s="11"/>
      <c r="P189" s="35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2:35" ht="12.75" customHeight="1" x14ac:dyDescent="0.2">
      <c r="B190" s="22"/>
      <c r="D190" s="11" t="s">
        <v>245</v>
      </c>
      <c r="E190" s="11">
        <v>19</v>
      </c>
      <c r="F190" s="337">
        <v>68723</v>
      </c>
      <c r="G190" s="339"/>
      <c r="H190" s="11"/>
      <c r="I190" s="337">
        <v>69100</v>
      </c>
      <c r="J190" s="339"/>
      <c r="K190" s="13"/>
      <c r="L190" s="11"/>
      <c r="M190" s="11"/>
      <c r="N190" s="11"/>
      <c r="O190" s="11"/>
      <c r="P190" s="11"/>
      <c r="Q190" s="11"/>
      <c r="R190" s="11"/>
      <c r="S190" s="11"/>
      <c r="T190" s="11">
        <f>15.5+15.5+15+14+13+12+10+7.5+5.5+4.5+3+3+2+1.5</f>
        <v>122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2:35" ht="12.75" customHeight="1" x14ac:dyDescent="0.2">
      <c r="B191" s="22"/>
      <c r="D191" s="11" t="s">
        <v>246</v>
      </c>
      <c r="E191" s="11">
        <v>20</v>
      </c>
      <c r="F191" s="337">
        <v>69150</v>
      </c>
      <c r="G191" s="339"/>
      <c r="H191" s="11"/>
      <c r="I191" s="337">
        <v>69250</v>
      </c>
      <c r="J191" s="339"/>
      <c r="K191" s="13" t="s">
        <v>25</v>
      </c>
      <c r="L191" s="11"/>
      <c r="M191" s="11"/>
      <c r="N191" s="35">
        <f>(I191-F191)/5280</f>
        <v>1.893939393939394E-2</v>
      </c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2:35" ht="12.75" customHeight="1" x14ac:dyDescent="0.2">
      <c r="B192" s="22"/>
      <c r="D192" s="11" t="s">
        <v>247</v>
      </c>
      <c r="E192" s="11">
        <v>20</v>
      </c>
      <c r="F192" s="337">
        <v>69150</v>
      </c>
      <c r="G192" s="339"/>
      <c r="H192" s="11"/>
      <c r="I192" s="337">
        <v>69250</v>
      </c>
      <c r="J192" s="339"/>
      <c r="K192" s="13" t="s">
        <v>24</v>
      </c>
      <c r="L192" s="11"/>
      <c r="M192" s="11"/>
      <c r="N192" s="35">
        <f>(I192-F192)/5280</f>
        <v>1.893939393939394E-2</v>
      </c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2:35" ht="12.75" customHeight="1" x14ac:dyDescent="0.2">
      <c r="B193" s="22"/>
      <c r="D193" s="11" t="s">
        <v>248</v>
      </c>
      <c r="E193" s="11">
        <v>20</v>
      </c>
      <c r="F193" s="337">
        <v>69150</v>
      </c>
      <c r="G193" s="339"/>
      <c r="H193" s="11"/>
      <c r="I193" s="337">
        <v>69250</v>
      </c>
      <c r="J193" s="339"/>
      <c r="K193" s="13" t="s">
        <v>25</v>
      </c>
      <c r="L193" s="11"/>
      <c r="M193" s="11"/>
      <c r="N193" s="11"/>
      <c r="O193" s="11"/>
      <c r="P193" s="35">
        <f>(I193-F193)/5280</f>
        <v>1.893939393939394E-2</v>
      </c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2:35" ht="12.75" customHeight="1" x14ac:dyDescent="0.2">
      <c r="B194" s="22"/>
      <c r="D194" s="11" t="s">
        <v>612</v>
      </c>
      <c r="E194" s="11">
        <v>20</v>
      </c>
      <c r="F194" s="337">
        <v>69150</v>
      </c>
      <c r="G194" s="339"/>
      <c r="H194" s="11"/>
      <c r="I194" s="337">
        <v>69250</v>
      </c>
      <c r="J194" s="339"/>
      <c r="K194" s="13" t="s">
        <v>25</v>
      </c>
      <c r="L194" s="53">
        <f>ROUNDUP((I194-F194)/80,0)</f>
        <v>2</v>
      </c>
      <c r="M194" s="11"/>
      <c r="N194" s="11"/>
      <c r="O194" s="11"/>
      <c r="P194" s="35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2:35" ht="12.75" customHeight="1" x14ac:dyDescent="0.2">
      <c r="B195" s="22"/>
      <c r="D195" s="11" t="s">
        <v>249</v>
      </c>
      <c r="E195" s="11">
        <v>21</v>
      </c>
      <c r="F195" s="337">
        <v>69250</v>
      </c>
      <c r="G195" s="339"/>
      <c r="H195" s="11"/>
      <c r="I195" s="337">
        <v>69750</v>
      </c>
      <c r="J195" s="339"/>
      <c r="K195" s="13" t="s">
        <v>25</v>
      </c>
      <c r="L195" s="11"/>
      <c r="M195" s="11"/>
      <c r="N195" s="35">
        <f>(I195-F195)/5280</f>
        <v>9.4696969696969696E-2</v>
      </c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2:35" ht="12.75" customHeight="1" x14ac:dyDescent="0.2">
      <c r="B196" s="22"/>
      <c r="D196" s="11" t="s">
        <v>250</v>
      </c>
      <c r="E196" s="11">
        <v>21</v>
      </c>
      <c r="F196" s="337">
        <v>69250</v>
      </c>
      <c r="G196" s="339"/>
      <c r="H196" s="11"/>
      <c r="I196" s="337">
        <v>69750</v>
      </c>
      <c r="J196" s="339"/>
      <c r="K196" s="13" t="s">
        <v>24</v>
      </c>
      <c r="L196" s="11"/>
      <c r="M196" s="11"/>
      <c r="N196" s="35">
        <f>(I196-F196)/5280</f>
        <v>9.4696969696969696E-2</v>
      </c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2:35" ht="12.75" customHeight="1" x14ac:dyDescent="0.2">
      <c r="B197" s="22"/>
      <c r="D197" s="11" t="s">
        <v>251</v>
      </c>
      <c r="E197" s="11">
        <v>21</v>
      </c>
      <c r="F197" s="337">
        <v>69250</v>
      </c>
      <c r="G197" s="339"/>
      <c r="H197" s="11"/>
      <c r="I197" s="337">
        <v>69750</v>
      </c>
      <c r="J197" s="339"/>
      <c r="K197" s="13"/>
      <c r="L197" s="11"/>
      <c r="M197" s="11"/>
      <c r="N197" s="11"/>
      <c r="O197" s="11"/>
      <c r="P197" s="35">
        <f>(I197-F197)/5280</f>
        <v>9.4696969696969696E-2</v>
      </c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2:35" ht="12.75" customHeight="1" x14ac:dyDescent="0.2">
      <c r="B198" s="22"/>
      <c r="D198" s="11" t="s">
        <v>252</v>
      </c>
      <c r="E198" s="11">
        <v>22</v>
      </c>
      <c r="F198" s="337">
        <v>69750</v>
      </c>
      <c r="G198" s="339"/>
      <c r="H198" s="11"/>
      <c r="I198" s="337">
        <v>70250</v>
      </c>
      <c r="J198" s="339"/>
      <c r="K198" s="13" t="s">
        <v>25</v>
      </c>
      <c r="L198" s="11"/>
      <c r="M198" s="11"/>
      <c r="N198" s="35">
        <f>(I198-F198)/5280</f>
        <v>9.4696969696969696E-2</v>
      </c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2:35" ht="12.75" customHeight="1" x14ac:dyDescent="0.2">
      <c r="B199" s="22"/>
      <c r="D199" s="11" t="s">
        <v>253</v>
      </c>
      <c r="E199" s="11">
        <v>22</v>
      </c>
      <c r="F199" s="337">
        <v>69750</v>
      </c>
      <c r="G199" s="339"/>
      <c r="H199" s="11"/>
      <c r="I199" s="337">
        <v>70250</v>
      </c>
      <c r="J199" s="339"/>
      <c r="K199" s="13" t="s">
        <v>24</v>
      </c>
      <c r="L199" s="11"/>
      <c r="M199" s="11"/>
      <c r="N199" s="35">
        <f>(I199-F199)/5280</f>
        <v>9.4696969696969696E-2</v>
      </c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2:35" ht="12.75" customHeight="1" x14ac:dyDescent="0.2">
      <c r="B200" s="22"/>
      <c r="D200" s="11" t="s">
        <v>254</v>
      </c>
      <c r="E200" s="11">
        <v>22</v>
      </c>
      <c r="F200" s="337">
        <v>69750</v>
      </c>
      <c r="G200" s="339"/>
      <c r="H200" s="11"/>
      <c r="I200" s="337">
        <v>70250</v>
      </c>
      <c r="J200" s="339"/>
      <c r="K200" s="13" t="s">
        <v>25</v>
      </c>
      <c r="L200" s="11"/>
      <c r="M200" s="11"/>
      <c r="N200" s="11"/>
      <c r="O200" s="11"/>
      <c r="P200" s="35">
        <f>(I200-F200)/5280</f>
        <v>9.4696969696969696E-2</v>
      </c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2:35" ht="12.75" customHeight="1" x14ac:dyDescent="0.2">
      <c r="B201" s="22"/>
      <c r="D201" s="11" t="s">
        <v>614</v>
      </c>
      <c r="E201" s="11">
        <v>22</v>
      </c>
      <c r="F201" s="337">
        <v>69750</v>
      </c>
      <c r="G201" s="339"/>
      <c r="H201" s="11"/>
      <c r="I201" s="337">
        <v>70250</v>
      </c>
      <c r="J201" s="339"/>
      <c r="K201" s="13" t="s">
        <v>25</v>
      </c>
      <c r="L201" s="53">
        <f>ROUNDUP((I201-F201)/80,0)</f>
        <v>7</v>
      </c>
      <c r="M201" s="11"/>
      <c r="N201" s="11"/>
      <c r="O201" s="11"/>
      <c r="P201" s="35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2:35" ht="12.75" customHeight="1" x14ac:dyDescent="0.2">
      <c r="B202" s="22"/>
      <c r="D202" s="11" t="s">
        <v>255</v>
      </c>
      <c r="E202" s="11">
        <v>22</v>
      </c>
      <c r="F202" s="337">
        <v>69894</v>
      </c>
      <c r="G202" s="339"/>
      <c r="H202" s="11"/>
      <c r="I202" s="337">
        <v>70250</v>
      </c>
      <c r="J202" s="339"/>
      <c r="K202" s="13" t="s">
        <v>25</v>
      </c>
      <c r="L202" s="11"/>
      <c r="M202" s="11"/>
      <c r="N202" s="11"/>
      <c r="O202" s="11"/>
      <c r="P202" s="35">
        <f>(I202-F202)/5280</f>
        <v>6.7424242424242428E-2</v>
      </c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2:35" ht="12.75" customHeight="1" x14ac:dyDescent="0.2">
      <c r="B203" s="22"/>
      <c r="D203" s="11" t="s">
        <v>615</v>
      </c>
      <c r="E203" s="11">
        <v>22</v>
      </c>
      <c r="F203" s="337">
        <v>69894</v>
      </c>
      <c r="G203" s="339"/>
      <c r="H203" s="11"/>
      <c r="I203" s="337">
        <v>70250</v>
      </c>
      <c r="J203" s="339"/>
      <c r="K203" s="13" t="s">
        <v>25</v>
      </c>
      <c r="L203" s="53">
        <f>ROUNDUP((I203-F203)/80,0)</f>
        <v>5</v>
      </c>
      <c r="M203" s="11"/>
      <c r="N203" s="11"/>
      <c r="O203" s="11"/>
      <c r="P203" s="35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2:35" ht="12.75" customHeight="1" x14ac:dyDescent="0.2">
      <c r="B204" s="61"/>
      <c r="D204" s="11" t="s">
        <v>613</v>
      </c>
      <c r="E204" s="11">
        <v>22</v>
      </c>
      <c r="F204" s="337">
        <v>69763</v>
      </c>
      <c r="G204" s="339"/>
      <c r="H204" s="11"/>
      <c r="I204" s="337">
        <v>70195</v>
      </c>
      <c r="J204" s="339"/>
      <c r="K204" s="13" t="s">
        <v>25</v>
      </c>
      <c r="L204" s="11"/>
      <c r="M204" s="11"/>
      <c r="N204" s="11"/>
      <c r="O204" s="11"/>
      <c r="P204" s="35"/>
      <c r="Q204" s="11"/>
      <c r="R204" s="11"/>
      <c r="S204" s="11"/>
      <c r="T204" s="11"/>
      <c r="U204" s="11"/>
      <c r="V204" s="11"/>
      <c r="W204" s="11"/>
      <c r="X204" s="32">
        <f>(I204-F204)</f>
        <v>432</v>
      </c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2:35" ht="12.75" customHeight="1" x14ac:dyDescent="0.2">
      <c r="B205" s="61"/>
      <c r="D205" s="11" t="s">
        <v>616</v>
      </c>
      <c r="E205" s="11">
        <v>22</v>
      </c>
      <c r="F205" s="337">
        <v>69763</v>
      </c>
      <c r="G205" s="339"/>
      <c r="H205" s="11"/>
      <c r="I205" s="337">
        <v>70195</v>
      </c>
      <c r="J205" s="339"/>
      <c r="K205" s="13" t="s">
        <v>25</v>
      </c>
      <c r="L205" s="58">
        <f>ROUNDUP((I205-F205)/80,0)</f>
        <v>6</v>
      </c>
      <c r="M205" s="11"/>
      <c r="N205" s="11"/>
      <c r="O205" s="11"/>
      <c r="P205" s="35"/>
      <c r="Q205" s="11"/>
      <c r="R205" s="11"/>
      <c r="S205" s="11"/>
      <c r="T205" s="11"/>
      <c r="U205" s="11"/>
      <c r="V205" s="11"/>
      <c r="W205" s="11"/>
      <c r="X205" s="32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2:35" ht="12.75" customHeight="1" x14ac:dyDescent="0.2">
      <c r="B206" s="22"/>
      <c r="D206" s="11" t="s">
        <v>565</v>
      </c>
      <c r="E206" s="11">
        <v>22</v>
      </c>
      <c r="F206" s="337">
        <v>70195</v>
      </c>
      <c r="G206" s="339"/>
      <c r="H206" s="11"/>
      <c r="I206" s="337">
        <v>70250</v>
      </c>
      <c r="J206" s="339"/>
      <c r="K206" s="13" t="s">
        <v>25</v>
      </c>
      <c r="L206" s="11"/>
      <c r="M206" s="11"/>
      <c r="N206" s="11"/>
      <c r="O206" s="11"/>
      <c r="P206" s="35"/>
      <c r="Q206" s="32">
        <f>I206-F206</f>
        <v>55</v>
      </c>
      <c r="R206" s="11"/>
      <c r="S206" s="11"/>
      <c r="T206" s="11"/>
      <c r="U206" s="11"/>
      <c r="V206" s="11"/>
      <c r="W206" s="11"/>
      <c r="X206" s="32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2:35" ht="12.75" customHeight="1" x14ac:dyDescent="0.2">
      <c r="B207" s="22"/>
      <c r="D207" s="11" t="s">
        <v>617</v>
      </c>
      <c r="E207" s="11">
        <v>22</v>
      </c>
      <c r="F207" s="337">
        <v>70195</v>
      </c>
      <c r="G207" s="339"/>
      <c r="H207" s="11"/>
      <c r="I207" s="337">
        <v>70250</v>
      </c>
      <c r="J207" s="339"/>
      <c r="K207" s="13" t="s">
        <v>25</v>
      </c>
      <c r="L207" s="53">
        <f>ROUNDUP((I207-F207)/40,0)</f>
        <v>2</v>
      </c>
      <c r="M207" s="11"/>
      <c r="N207" s="11"/>
      <c r="O207" s="11"/>
      <c r="P207" s="35"/>
      <c r="Q207" s="32"/>
      <c r="R207" s="11"/>
      <c r="S207" s="11"/>
      <c r="T207" s="11"/>
      <c r="U207" s="11"/>
      <c r="V207" s="11"/>
      <c r="W207" s="11"/>
      <c r="X207" s="32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2:35" ht="12.75" customHeight="1" x14ac:dyDescent="0.2">
      <c r="B208" s="22"/>
      <c r="D208" s="11" t="s">
        <v>260</v>
      </c>
      <c r="E208" s="11">
        <v>23</v>
      </c>
      <c r="F208" s="337">
        <v>70250</v>
      </c>
      <c r="G208" s="339"/>
      <c r="H208" s="11"/>
      <c r="I208" s="337">
        <v>70595</v>
      </c>
      <c r="J208" s="339"/>
      <c r="K208" s="13" t="s">
        <v>25</v>
      </c>
      <c r="L208" s="11"/>
      <c r="M208" s="11"/>
      <c r="N208" s="35">
        <f>(I208-F208)/5280</f>
        <v>6.5340909090909088E-2</v>
      </c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2:35" ht="12.75" customHeight="1" x14ac:dyDescent="0.2">
      <c r="B209" s="22"/>
      <c r="D209" s="11" t="s">
        <v>261</v>
      </c>
      <c r="E209" s="11">
        <v>23</v>
      </c>
      <c r="F209" s="337">
        <v>70250</v>
      </c>
      <c r="G209" s="339"/>
      <c r="H209" s="11"/>
      <c r="I209" s="337">
        <v>70575</v>
      </c>
      <c r="J209" s="339"/>
      <c r="K209" s="13" t="s">
        <v>25</v>
      </c>
      <c r="L209" s="11"/>
      <c r="M209" s="11"/>
      <c r="N209" s="35">
        <f>(I209-F209)/5280</f>
        <v>6.1553030303030304E-2</v>
      </c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2:35" ht="12.75" customHeight="1" x14ac:dyDescent="0.2">
      <c r="B210" s="22"/>
      <c r="D210" s="11" t="s">
        <v>262</v>
      </c>
      <c r="E210" s="11">
        <v>23</v>
      </c>
      <c r="F210" s="337">
        <v>70595</v>
      </c>
      <c r="G210" s="339"/>
      <c r="H210" s="11"/>
      <c r="I210" s="337">
        <v>70700</v>
      </c>
      <c r="J210" s="339"/>
      <c r="K210" s="13"/>
      <c r="L210" s="11"/>
      <c r="M210" s="11"/>
      <c r="N210" s="35">
        <f>(I210-F210)/5280</f>
        <v>1.9886363636363636E-2</v>
      </c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2:35" ht="12.75" customHeight="1" x14ac:dyDescent="0.2">
      <c r="B211" s="22"/>
      <c r="D211" s="11" t="s">
        <v>263</v>
      </c>
      <c r="E211" s="11">
        <v>23</v>
      </c>
      <c r="F211" s="337">
        <v>70705</v>
      </c>
      <c r="G211" s="339"/>
      <c r="H211" s="11"/>
      <c r="I211" s="337"/>
      <c r="J211" s="339"/>
      <c r="K211" s="13" t="s">
        <v>25</v>
      </c>
      <c r="L211" s="11"/>
      <c r="M211" s="11"/>
      <c r="N211" s="35">
        <f>30/5280</f>
        <v>5.681818181818182E-3</v>
      </c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2:35" ht="12.75" customHeight="1" x14ac:dyDescent="0.2">
      <c r="B212" s="22"/>
      <c r="D212" s="11" t="s">
        <v>264</v>
      </c>
      <c r="E212" s="11">
        <v>23</v>
      </c>
      <c r="F212" s="337">
        <v>70600</v>
      </c>
      <c r="G212" s="339"/>
      <c r="H212" s="11"/>
      <c r="I212" s="337"/>
      <c r="J212" s="339"/>
      <c r="K212" s="13" t="s">
        <v>25</v>
      </c>
      <c r="L212" s="11"/>
      <c r="M212" s="11"/>
      <c r="N212" s="35">
        <f>35/5280</f>
        <v>6.628787878787879E-3</v>
      </c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2:35" ht="12.75" customHeight="1" x14ac:dyDescent="0.2">
      <c r="B213" s="22"/>
      <c r="D213" s="11" t="s">
        <v>265</v>
      </c>
      <c r="E213" s="11">
        <v>23</v>
      </c>
      <c r="F213" s="337">
        <v>70700</v>
      </c>
      <c r="G213" s="339"/>
      <c r="H213" s="11"/>
      <c r="I213" s="337">
        <v>70750</v>
      </c>
      <c r="J213" s="339"/>
      <c r="K213" s="13"/>
      <c r="L213" s="11"/>
      <c r="M213" s="11"/>
      <c r="N213" s="35">
        <f>35/5280</f>
        <v>6.628787878787879E-3</v>
      </c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2:35" ht="12.75" customHeight="1" x14ac:dyDescent="0.2">
      <c r="B214" s="22"/>
      <c r="D214" s="11" t="s">
        <v>266</v>
      </c>
      <c r="E214" s="11">
        <v>23</v>
      </c>
      <c r="F214" s="337">
        <v>70595</v>
      </c>
      <c r="G214" s="339"/>
      <c r="H214" s="11"/>
      <c r="I214" s="337"/>
      <c r="J214" s="339"/>
      <c r="K214" s="13" t="s">
        <v>25</v>
      </c>
      <c r="L214" s="11"/>
      <c r="M214" s="11"/>
      <c r="N214" s="35"/>
      <c r="O214" s="35">
        <f>64/5280</f>
        <v>1.2121212121212121E-2</v>
      </c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2:35" ht="12.75" customHeight="1" x14ac:dyDescent="0.2">
      <c r="B215" s="22"/>
      <c r="D215" s="11" t="s">
        <v>267</v>
      </c>
      <c r="E215" s="11">
        <v>23</v>
      </c>
      <c r="F215" s="337">
        <v>70720</v>
      </c>
      <c r="G215" s="339"/>
      <c r="H215" s="11"/>
      <c r="I215" s="337">
        <v>70739</v>
      </c>
      <c r="J215" s="339"/>
      <c r="K215" s="13" t="s">
        <v>25</v>
      </c>
      <c r="L215" s="11"/>
      <c r="M215" s="11"/>
      <c r="N215" s="35"/>
      <c r="O215" s="35">
        <f>(29+16)/5280</f>
        <v>8.5227272727272721E-3</v>
      </c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2:35" ht="12.75" customHeight="1" x14ac:dyDescent="0.2">
      <c r="B216" s="22"/>
      <c r="D216" s="11" t="s">
        <v>268</v>
      </c>
      <c r="E216" s="11">
        <v>23</v>
      </c>
      <c r="F216" s="337">
        <v>70250</v>
      </c>
      <c r="G216" s="339"/>
      <c r="H216" s="11"/>
      <c r="I216" s="337">
        <v>70750</v>
      </c>
      <c r="J216" s="339"/>
      <c r="K216" s="13" t="s">
        <v>25</v>
      </c>
      <c r="L216" s="11"/>
      <c r="M216" s="11"/>
      <c r="N216" s="11"/>
      <c r="O216" s="11"/>
      <c r="P216" s="35">
        <f>(I216-F216)/5280</f>
        <v>9.4696969696969696E-2</v>
      </c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2:35" ht="12.75" customHeight="1" x14ac:dyDescent="0.2">
      <c r="B217" s="22"/>
      <c r="D217" s="11" t="s">
        <v>618</v>
      </c>
      <c r="E217" s="11">
        <v>23</v>
      </c>
      <c r="F217" s="337">
        <v>70250</v>
      </c>
      <c r="G217" s="339"/>
      <c r="H217" s="11"/>
      <c r="I217" s="337">
        <v>70750</v>
      </c>
      <c r="J217" s="339"/>
      <c r="K217" s="13" t="s">
        <v>25</v>
      </c>
      <c r="L217" s="53">
        <f>ROUNDUP((I217-F217)/80,0)</f>
        <v>7</v>
      </c>
      <c r="M217" s="11"/>
      <c r="N217" s="11"/>
      <c r="O217" s="11"/>
      <c r="P217" s="35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2:35" ht="12.75" customHeight="1" x14ac:dyDescent="0.2">
      <c r="B218" s="22"/>
      <c r="D218" s="11" t="s">
        <v>269</v>
      </c>
      <c r="E218" s="11">
        <v>23</v>
      </c>
      <c r="F218" s="337">
        <v>70250</v>
      </c>
      <c r="G218" s="339"/>
      <c r="H218" s="11"/>
      <c r="I218" s="337">
        <v>70750</v>
      </c>
      <c r="J218" s="339"/>
      <c r="K218" s="13" t="s">
        <v>35</v>
      </c>
      <c r="L218" s="11"/>
      <c r="M218" s="11"/>
      <c r="N218" s="11"/>
      <c r="O218" s="11"/>
      <c r="P218" s="35">
        <f>(I218-F218)/5280</f>
        <v>9.4696969696969696E-2</v>
      </c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2:35" ht="12.75" customHeight="1" x14ac:dyDescent="0.2">
      <c r="B219" s="22"/>
      <c r="D219" s="11" t="s">
        <v>619</v>
      </c>
      <c r="E219" s="11">
        <v>23</v>
      </c>
      <c r="F219" s="337">
        <v>70250</v>
      </c>
      <c r="G219" s="339"/>
      <c r="H219" s="11"/>
      <c r="I219" s="337">
        <v>70750</v>
      </c>
      <c r="J219" s="339"/>
      <c r="K219" s="13" t="s">
        <v>35</v>
      </c>
      <c r="L219" s="53">
        <f>ROUNDUP((I219-F219)/80,0)</f>
        <v>7</v>
      </c>
      <c r="M219" s="11"/>
      <c r="N219" s="11"/>
      <c r="O219" s="11"/>
      <c r="P219" s="35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2:35" ht="12.75" customHeight="1" x14ac:dyDescent="0.2">
      <c r="B220" s="22"/>
      <c r="D220" s="11" t="s">
        <v>270</v>
      </c>
      <c r="E220" s="11">
        <v>23</v>
      </c>
      <c r="F220" s="337">
        <v>70643</v>
      </c>
      <c r="G220" s="339"/>
      <c r="H220" s="11"/>
      <c r="I220" s="337"/>
      <c r="J220" s="339"/>
      <c r="K220" s="13" t="s">
        <v>25</v>
      </c>
      <c r="L220" s="11"/>
      <c r="M220" s="11"/>
      <c r="N220" s="11"/>
      <c r="O220" s="11"/>
      <c r="P220" s="11"/>
      <c r="Q220" s="11"/>
      <c r="R220" s="11">
        <v>15</v>
      </c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2:35" ht="12.75" customHeight="1" thickBot="1" x14ac:dyDescent="0.25">
      <c r="B221" s="23"/>
      <c r="D221" s="11" t="s">
        <v>271</v>
      </c>
      <c r="E221" s="11">
        <v>23</v>
      </c>
      <c r="F221" s="337">
        <v>70710</v>
      </c>
      <c r="G221" s="339"/>
      <c r="H221" s="11"/>
      <c r="I221" s="337"/>
      <c r="J221" s="339"/>
      <c r="K221" s="13" t="s">
        <v>25</v>
      </c>
      <c r="L221" s="11"/>
      <c r="M221" s="11"/>
      <c r="N221" s="11"/>
      <c r="O221" s="11"/>
      <c r="P221" s="11"/>
      <c r="Q221" s="11"/>
      <c r="R221" s="11">
        <v>14</v>
      </c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2:35" ht="12.75" customHeight="1" x14ac:dyDescent="0.2">
      <c r="B222" s="5" t="s">
        <v>11</v>
      </c>
      <c r="D222" s="351" t="s">
        <v>2</v>
      </c>
      <c r="E222" s="352"/>
      <c r="F222" s="352"/>
      <c r="G222" s="352"/>
      <c r="H222" s="352"/>
      <c r="I222" s="352"/>
      <c r="J222" s="353"/>
      <c r="K222" s="14" t="str">
        <f t="shared" ref="K222:AI222" si="8">IF(K114="","",IF(OR(K129="", K129="LS", K129="LUMP"),IF(SUM(COUNTIF(K130:K221,"LS")+COUNTIF(K130:K221,"LUMP"))&gt;0,"LS",""),IF(SUM(K130:K221)&gt;0,ROUNDUP(SUM(K130:K221),0),"")))</f>
        <v/>
      </c>
      <c r="L222" s="14" t="str">
        <f t="shared" si="8"/>
        <v/>
      </c>
      <c r="M222" s="14" t="str">
        <f t="shared" si="8"/>
        <v/>
      </c>
      <c r="N222" s="14">
        <f t="shared" si="8"/>
        <v>2</v>
      </c>
      <c r="O222" s="14">
        <f t="shared" si="8"/>
        <v>1</v>
      </c>
      <c r="P222" s="14">
        <f t="shared" si="8"/>
        <v>2</v>
      </c>
      <c r="Q222" s="14">
        <f t="shared" si="8"/>
        <v>55</v>
      </c>
      <c r="R222" s="14">
        <f t="shared" si="8"/>
        <v>29</v>
      </c>
      <c r="S222" s="14" t="str">
        <f t="shared" si="8"/>
        <v/>
      </c>
      <c r="T222" s="14">
        <f t="shared" si="8"/>
        <v>222</v>
      </c>
      <c r="U222" s="14" t="str">
        <f t="shared" si="8"/>
        <v/>
      </c>
      <c r="V222" s="14" t="str">
        <f t="shared" si="8"/>
        <v/>
      </c>
      <c r="W222" s="14" t="str">
        <f t="shared" si="8"/>
        <v/>
      </c>
      <c r="X222" s="14">
        <f t="shared" si="8"/>
        <v>546</v>
      </c>
      <c r="Y222" s="14">
        <f t="shared" si="8"/>
        <v>36</v>
      </c>
      <c r="Z222" s="14" t="str">
        <f t="shared" si="8"/>
        <v/>
      </c>
      <c r="AA222" s="14" t="str">
        <f t="shared" si="8"/>
        <v/>
      </c>
      <c r="AB222" s="14" t="str">
        <f t="shared" si="8"/>
        <v/>
      </c>
      <c r="AC222" s="14" t="str">
        <f t="shared" si="8"/>
        <v/>
      </c>
      <c r="AD222" s="14" t="str">
        <f t="shared" si="8"/>
        <v/>
      </c>
      <c r="AE222" s="14" t="str">
        <f t="shared" si="8"/>
        <v/>
      </c>
      <c r="AF222" s="14" t="str">
        <f t="shared" si="8"/>
        <v/>
      </c>
      <c r="AG222" s="14" t="str">
        <f t="shared" si="8"/>
        <v/>
      </c>
      <c r="AH222" s="14" t="str">
        <f t="shared" si="8"/>
        <v/>
      </c>
      <c r="AI222" s="14" t="str">
        <f t="shared" si="8"/>
        <v/>
      </c>
    </row>
    <row r="223" spans="2:35" ht="12.75" customHeight="1" thickBot="1" x14ac:dyDescent="0.25"/>
    <row r="224" spans="2:35" ht="12.75" customHeight="1" thickBot="1" x14ac:dyDescent="0.25">
      <c r="B224" s="20" t="s">
        <v>9</v>
      </c>
      <c r="D224" s="295" t="str">
        <f>"SUBSUMMARY SHEET " &amp; B225</f>
        <v xml:space="preserve">SUBSUMMARY SHEET </v>
      </c>
      <c r="E224" s="295"/>
      <c r="F224" s="295"/>
      <c r="G224" s="295"/>
      <c r="H224" s="295"/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  <c r="AA224" s="295"/>
      <c r="AB224" s="295"/>
      <c r="AC224" s="295"/>
      <c r="AD224" s="295"/>
      <c r="AE224" s="295"/>
      <c r="AF224" s="295"/>
      <c r="AG224" s="295"/>
      <c r="AH224" s="295"/>
      <c r="AI224" s="295"/>
    </row>
    <row r="225" spans="2:35" ht="12.75" customHeight="1" thickBot="1" x14ac:dyDescent="0.25">
      <c r="B225" s="24"/>
      <c r="D225" s="309" t="s">
        <v>7</v>
      </c>
      <c r="E225" s="309"/>
      <c r="F225" s="309"/>
      <c r="G225" s="309"/>
      <c r="H225" s="309"/>
      <c r="I225" s="309"/>
      <c r="J225" s="309"/>
      <c r="K225" s="19"/>
      <c r="L225" s="19"/>
      <c r="M225" s="19"/>
      <c r="N225" s="19" t="s">
        <v>36</v>
      </c>
      <c r="O225" s="19" t="s">
        <v>36</v>
      </c>
      <c r="P225" s="19" t="s">
        <v>39</v>
      </c>
      <c r="Q225" s="19" t="s">
        <v>40</v>
      </c>
      <c r="R225" s="19" t="s">
        <v>42</v>
      </c>
      <c r="S225" s="19" t="s">
        <v>44</v>
      </c>
      <c r="T225" s="19" t="s">
        <v>47</v>
      </c>
      <c r="U225" s="19" t="s">
        <v>49</v>
      </c>
      <c r="V225" s="19" t="s">
        <v>52</v>
      </c>
      <c r="W225" s="19" t="s">
        <v>53</v>
      </c>
      <c r="X225" s="19" t="s">
        <v>55</v>
      </c>
      <c r="Y225" s="19" t="s">
        <v>57</v>
      </c>
      <c r="Z225" s="19" t="s">
        <v>63</v>
      </c>
      <c r="AA225" s="19" t="s">
        <v>65</v>
      </c>
      <c r="AB225" s="19" t="s">
        <v>70</v>
      </c>
      <c r="AC225" s="19" t="s">
        <v>71</v>
      </c>
      <c r="AD225" s="19" t="s">
        <v>72</v>
      </c>
      <c r="AE225" s="19" t="s">
        <v>73</v>
      </c>
      <c r="AF225" s="19" t="s">
        <v>28</v>
      </c>
      <c r="AG225" s="19" t="s">
        <v>29</v>
      </c>
      <c r="AH225" s="19" t="s">
        <v>30</v>
      </c>
      <c r="AI225" s="19" t="s">
        <v>31</v>
      </c>
    </row>
    <row r="226" spans="2:35" ht="12.75" customHeight="1" thickBot="1" x14ac:dyDescent="0.25">
      <c r="D226" s="310" t="s">
        <v>8</v>
      </c>
      <c r="E226" s="310"/>
      <c r="F226" s="310"/>
      <c r="G226" s="310"/>
      <c r="H226" s="310"/>
      <c r="I226" s="310"/>
      <c r="J226" s="310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</row>
    <row r="227" spans="2:35" ht="12.75" customHeight="1" x14ac:dyDescent="0.2">
      <c r="B227" s="250" t="s">
        <v>10</v>
      </c>
      <c r="D227" s="360" t="s">
        <v>20</v>
      </c>
      <c r="E227" s="360" t="s">
        <v>21</v>
      </c>
      <c r="F227" s="363" t="s">
        <v>0</v>
      </c>
      <c r="G227" s="364"/>
      <c r="H227" s="364"/>
      <c r="I227" s="364"/>
      <c r="J227" s="365"/>
      <c r="K227" s="372" t="s">
        <v>23</v>
      </c>
      <c r="L227" s="7" t="str">
        <f>IF(OR(TRIM(L225)=0,TRIM(L225)=""),"",IF(IFERROR(TRIM(INDEX(QryItemNamed,MATCH(TRIM(L225),ITEM,0),2)),"")="Y","SPECIAL",LEFT(IFERROR(TRIM(INDEX(ITEM,MATCH(TRIM(L225),ITEM,0))),""),3)))</f>
        <v/>
      </c>
      <c r="M227" s="7"/>
      <c r="N227" s="7">
        <v>644</v>
      </c>
      <c r="O227" s="7">
        <v>644</v>
      </c>
      <c r="P227" s="7">
        <v>644</v>
      </c>
      <c r="Q227" s="7">
        <v>644</v>
      </c>
      <c r="R227" s="7">
        <v>644</v>
      </c>
      <c r="S227" s="7">
        <v>644</v>
      </c>
      <c r="T227" s="7">
        <v>644</v>
      </c>
      <c r="U227" s="7">
        <v>644</v>
      </c>
      <c r="V227" s="7">
        <v>644</v>
      </c>
      <c r="W227" s="7">
        <v>644</v>
      </c>
      <c r="X227" s="7">
        <v>644</v>
      </c>
      <c r="Y227" s="7">
        <v>644</v>
      </c>
      <c r="Z227" s="7">
        <v>644</v>
      </c>
      <c r="AA227" s="7">
        <v>644</v>
      </c>
      <c r="AB227" s="7">
        <v>618</v>
      </c>
      <c r="AC227" s="7" t="str">
        <f t="shared" ref="AC227:AI227" si="9">IF(OR(TRIM(AC225)=0,TRIM(AC225)=""),"",IF(IFERROR(TRIM(INDEX(QryItemNamed,MATCH(TRIM(AC225),ITEM,0),2)),"")="Y","SPECIAL",LEFT(IFERROR(TRIM(INDEX(ITEM,MATCH(TRIM(AC225),ITEM,0))),""),3)))</f>
        <v>618</v>
      </c>
      <c r="AD227" s="7" t="str">
        <f t="shared" si="9"/>
        <v>618</v>
      </c>
      <c r="AE227" s="7" t="str">
        <f t="shared" si="9"/>
        <v>618</v>
      </c>
      <c r="AF227" s="7" t="str">
        <f t="shared" si="9"/>
        <v>630</v>
      </c>
      <c r="AG227" s="7" t="str">
        <f t="shared" si="9"/>
        <v>630</v>
      </c>
      <c r="AH227" s="7" t="str">
        <f t="shared" si="9"/>
        <v>630</v>
      </c>
      <c r="AI227" s="7" t="str">
        <f t="shared" si="9"/>
        <v>630</v>
      </c>
    </row>
    <row r="228" spans="2:35" ht="12.75" customHeight="1" x14ac:dyDescent="0.2">
      <c r="B228" s="251"/>
      <c r="D228" s="361"/>
      <c r="E228" s="361"/>
      <c r="F228" s="366"/>
      <c r="G228" s="367"/>
      <c r="H228" s="367"/>
      <c r="I228" s="367"/>
      <c r="J228" s="368"/>
      <c r="K228" s="373"/>
      <c r="L228" s="375" t="str">
        <f>IF(OR(TRIM(L225)=0,TRIM(L225)=""),IF(L226="","",L226),IF(IFERROR(TRIM(INDEX(QryItemNamed,MATCH(TRIM(L225),ITEM,0),2)),"")="Y",TRIM(RIGHT(IFERROR(TRIM(INDEX(QryItemNamed,MATCH(TRIM(L225),ITEM,0),4)),"123456789012"),LEN(IFERROR(TRIM(INDEX(QryItemNamed,MATCH(TRIM(L225),ITEM,0),4)),"123456789012"))-9))&amp;L226,IFERROR(TRIM(INDEX(QryItemNamed,MATCH(TRIM(L225),ITEM,0),4))&amp;L226,"ITEM CODE DOES NOT EXIST IN ITEM MASTER")))</f>
        <v/>
      </c>
      <c r="M228" s="378"/>
      <c r="N228" s="381" t="s">
        <v>37</v>
      </c>
      <c r="O228" s="381" t="s">
        <v>38</v>
      </c>
      <c r="P228" s="381" t="s">
        <v>32</v>
      </c>
      <c r="Q228" s="381" t="s">
        <v>41</v>
      </c>
      <c r="R228" s="381" t="s">
        <v>43</v>
      </c>
      <c r="S228" s="381" t="s">
        <v>45</v>
      </c>
      <c r="T228" s="381" t="s">
        <v>48</v>
      </c>
      <c r="U228" s="381" t="s">
        <v>50</v>
      </c>
      <c r="V228" s="381" t="s">
        <v>59</v>
      </c>
      <c r="W228" s="381" t="s">
        <v>54</v>
      </c>
      <c r="X228" s="381" t="s">
        <v>56</v>
      </c>
      <c r="Y228" s="381" t="s">
        <v>58</v>
      </c>
      <c r="Z228" s="382" t="s">
        <v>64</v>
      </c>
      <c r="AA228" s="383" t="s">
        <v>66</v>
      </c>
      <c r="AB228" s="382" t="s">
        <v>74</v>
      </c>
      <c r="AC228" s="382" t="str">
        <f t="shared" ref="AC228:AI228" si="10">IF(OR(TRIM(AC225)=0,TRIM(AC225)=""),IF(AC226="","",AC226),IF(IFERROR(TRIM(INDEX(QryItemNamed,MATCH(TRIM(AC225),ITEM,0),2)),"")="Y",TRIM(RIGHT(IFERROR(TRIM(INDEX(QryItemNamed,MATCH(TRIM(AC225),ITEM,0),4)),"123456789012"),LEN(IFERROR(TRIM(INDEX(QryItemNamed,MATCH(TRIM(AC225),ITEM,0),4)),"123456789012"))-9))&amp;AC226,IFERROR(TRIM(INDEX(QryItemNamed,MATCH(TRIM(AC225),ITEM,0),4))&amp;AC226,"ITEM CODE DOES NOT EXIST IN ITEM MASTER")))</f>
        <v>RUMBLE STRIPES, EDGE LINE (CONCRETE)</v>
      </c>
      <c r="AD228" s="382" t="str">
        <f t="shared" si="10"/>
        <v>RUMBLE STRIPES, CENTER LINE (ASPHALT CONCRETE)</v>
      </c>
      <c r="AE228" s="382" t="str">
        <f t="shared" si="10"/>
        <v>RUMBLE STRIPES, CENTER LINE (CONCRETE)</v>
      </c>
      <c r="AF228" s="382" t="str">
        <f t="shared" si="10"/>
        <v>GROUND MOUNTED SUPPORT, NO. 3 POST</v>
      </c>
      <c r="AG228" s="382" t="str">
        <f t="shared" si="10"/>
        <v>SIGN, FLAT SHEET</v>
      </c>
      <c r="AH228" s="382" t="str">
        <f t="shared" si="10"/>
        <v>REMOVAL OF GROUND MOUNTED SIGN AND DISPOSAL</v>
      </c>
      <c r="AI228" s="382" t="str">
        <f t="shared" si="10"/>
        <v>REMOVAL OF GROUND MOUNTED POST SUPPORT AND DISPOSAL</v>
      </c>
    </row>
    <row r="229" spans="2:35" ht="12.75" customHeight="1" x14ac:dyDescent="0.2">
      <c r="B229" s="251"/>
      <c r="D229" s="361"/>
      <c r="E229" s="361"/>
      <c r="F229" s="366"/>
      <c r="G229" s="367"/>
      <c r="H229" s="367"/>
      <c r="I229" s="367"/>
      <c r="J229" s="368"/>
      <c r="K229" s="373"/>
      <c r="L229" s="376"/>
      <c r="M229" s="379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2"/>
      <c r="AA229" s="384"/>
      <c r="AB229" s="382"/>
      <c r="AC229" s="382"/>
      <c r="AD229" s="382"/>
      <c r="AE229" s="382"/>
      <c r="AF229" s="382"/>
      <c r="AG229" s="382"/>
      <c r="AH229" s="382"/>
      <c r="AI229" s="382"/>
    </row>
    <row r="230" spans="2:35" ht="12.75" customHeight="1" x14ac:dyDescent="0.2">
      <c r="B230" s="251"/>
      <c r="D230" s="361"/>
      <c r="E230" s="361"/>
      <c r="F230" s="366"/>
      <c r="G230" s="367"/>
      <c r="H230" s="367"/>
      <c r="I230" s="367"/>
      <c r="J230" s="368"/>
      <c r="K230" s="373"/>
      <c r="L230" s="376"/>
      <c r="M230" s="379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2"/>
      <c r="AA230" s="384"/>
      <c r="AB230" s="382"/>
      <c r="AC230" s="382"/>
      <c r="AD230" s="382"/>
      <c r="AE230" s="382"/>
      <c r="AF230" s="382"/>
      <c r="AG230" s="382"/>
      <c r="AH230" s="382"/>
      <c r="AI230" s="382"/>
    </row>
    <row r="231" spans="2:35" ht="12.75" customHeight="1" x14ac:dyDescent="0.2">
      <c r="B231" s="251"/>
      <c r="D231" s="361"/>
      <c r="E231" s="361"/>
      <c r="F231" s="366"/>
      <c r="G231" s="367"/>
      <c r="H231" s="367"/>
      <c r="I231" s="367"/>
      <c r="J231" s="368"/>
      <c r="K231" s="373"/>
      <c r="L231" s="376"/>
      <c r="M231" s="379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2"/>
      <c r="AA231" s="384"/>
      <c r="AB231" s="382"/>
      <c r="AC231" s="382"/>
      <c r="AD231" s="382"/>
      <c r="AE231" s="382"/>
      <c r="AF231" s="382"/>
      <c r="AG231" s="382"/>
      <c r="AH231" s="382"/>
      <c r="AI231" s="382"/>
    </row>
    <row r="232" spans="2:35" ht="12.75" customHeight="1" x14ac:dyDescent="0.2">
      <c r="B232" s="251"/>
      <c r="D232" s="361"/>
      <c r="E232" s="361"/>
      <c r="F232" s="366"/>
      <c r="G232" s="367"/>
      <c r="H232" s="367"/>
      <c r="I232" s="367"/>
      <c r="J232" s="368"/>
      <c r="K232" s="373"/>
      <c r="L232" s="376"/>
      <c r="M232" s="379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2"/>
      <c r="AA232" s="384"/>
      <c r="AB232" s="382"/>
      <c r="AC232" s="382"/>
      <c r="AD232" s="382"/>
      <c r="AE232" s="382"/>
      <c r="AF232" s="382"/>
      <c r="AG232" s="382"/>
      <c r="AH232" s="382"/>
      <c r="AI232" s="382"/>
    </row>
    <row r="233" spans="2:35" ht="12.75" customHeight="1" x14ac:dyDescent="0.2">
      <c r="B233" s="251"/>
      <c r="D233" s="361"/>
      <c r="E233" s="361"/>
      <c r="F233" s="366"/>
      <c r="G233" s="367"/>
      <c r="H233" s="367"/>
      <c r="I233" s="367"/>
      <c r="J233" s="368"/>
      <c r="K233" s="373"/>
      <c r="L233" s="376"/>
      <c r="M233" s="379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2"/>
      <c r="AA233" s="384"/>
      <c r="AB233" s="382"/>
      <c r="AC233" s="382"/>
      <c r="AD233" s="382"/>
      <c r="AE233" s="382"/>
      <c r="AF233" s="382"/>
      <c r="AG233" s="382"/>
      <c r="AH233" s="382"/>
      <c r="AI233" s="382"/>
    </row>
    <row r="234" spans="2:35" ht="12.75" customHeight="1" x14ac:dyDescent="0.2">
      <c r="B234" s="251"/>
      <c r="D234" s="361"/>
      <c r="E234" s="361"/>
      <c r="F234" s="366"/>
      <c r="G234" s="367"/>
      <c r="H234" s="367"/>
      <c r="I234" s="367"/>
      <c r="J234" s="368"/>
      <c r="K234" s="373"/>
      <c r="L234" s="376"/>
      <c r="M234" s="379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2"/>
      <c r="AA234" s="384"/>
      <c r="AB234" s="382"/>
      <c r="AC234" s="382"/>
      <c r="AD234" s="382"/>
      <c r="AE234" s="382"/>
      <c r="AF234" s="382"/>
      <c r="AG234" s="382"/>
      <c r="AH234" s="382"/>
      <c r="AI234" s="382"/>
    </row>
    <row r="235" spans="2:35" ht="12.75" customHeight="1" x14ac:dyDescent="0.2">
      <c r="B235" s="251"/>
      <c r="D235" s="361"/>
      <c r="E235" s="361"/>
      <c r="F235" s="366"/>
      <c r="G235" s="367"/>
      <c r="H235" s="367"/>
      <c r="I235" s="367"/>
      <c r="J235" s="368"/>
      <c r="K235" s="373"/>
      <c r="L235" s="376"/>
      <c r="M235" s="379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2"/>
      <c r="AA235" s="384"/>
      <c r="AB235" s="382"/>
      <c r="AC235" s="382"/>
      <c r="AD235" s="382"/>
      <c r="AE235" s="382"/>
      <c r="AF235" s="382"/>
      <c r="AG235" s="382"/>
      <c r="AH235" s="382"/>
      <c r="AI235" s="382"/>
    </row>
    <row r="236" spans="2:35" ht="12.75" customHeight="1" x14ac:dyDescent="0.2">
      <c r="B236" s="251"/>
      <c r="D236" s="361"/>
      <c r="E236" s="361"/>
      <c r="F236" s="366"/>
      <c r="G236" s="367"/>
      <c r="H236" s="367"/>
      <c r="I236" s="367"/>
      <c r="J236" s="368"/>
      <c r="K236" s="373"/>
      <c r="L236" s="376"/>
      <c r="M236" s="379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2"/>
      <c r="AA236" s="384"/>
      <c r="AB236" s="382"/>
      <c r="AC236" s="382"/>
      <c r="AD236" s="382"/>
      <c r="AE236" s="382"/>
      <c r="AF236" s="382"/>
      <c r="AG236" s="382"/>
      <c r="AH236" s="382"/>
      <c r="AI236" s="382"/>
    </row>
    <row r="237" spans="2:35" ht="12.75" customHeight="1" x14ac:dyDescent="0.2">
      <c r="B237" s="251"/>
      <c r="D237" s="361"/>
      <c r="E237" s="361"/>
      <c r="F237" s="366"/>
      <c r="G237" s="367"/>
      <c r="H237" s="367"/>
      <c r="I237" s="367"/>
      <c r="J237" s="368"/>
      <c r="K237" s="373"/>
      <c r="L237" s="376"/>
      <c r="M237" s="379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2"/>
      <c r="AA237" s="384"/>
      <c r="AB237" s="382"/>
      <c r="AC237" s="382"/>
      <c r="AD237" s="382"/>
      <c r="AE237" s="382"/>
      <c r="AF237" s="382"/>
      <c r="AG237" s="382"/>
      <c r="AH237" s="382"/>
      <c r="AI237" s="382"/>
    </row>
    <row r="238" spans="2:35" ht="12.75" customHeight="1" x14ac:dyDescent="0.2">
      <c r="B238" s="251"/>
      <c r="D238" s="361"/>
      <c r="E238" s="361"/>
      <c r="F238" s="366"/>
      <c r="G238" s="367"/>
      <c r="H238" s="367"/>
      <c r="I238" s="367"/>
      <c r="J238" s="368"/>
      <c r="K238" s="373"/>
      <c r="L238" s="376"/>
      <c r="M238" s="379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2"/>
      <c r="AA238" s="384"/>
      <c r="AB238" s="382"/>
      <c r="AC238" s="382"/>
      <c r="AD238" s="382"/>
      <c r="AE238" s="382"/>
      <c r="AF238" s="382"/>
      <c r="AG238" s="382"/>
      <c r="AH238" s="382"/>
      <c r="AI238" s="382"/>
    </row>
    <row r="239" spans="2:35" ht="12.75" customHeight="1" x14ac:dyDescent="0.2">
      <c r="B239" s="251"/>
      <c r="D239" s="361"/>
      <c r="E239" s="361"/>
      <c r="F239" s="366"/>
      <c r="G239" s="367"/>
      <c r="H239" s="367"/>
      <c r="I239" s="367"/>
      <c r="J239" s="368"/>
      <c r="K239" s="373"/>
      <c r="L239" s="377"/>
      <c r="M239" s="380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2"/>
      <c r="AA239" s="385"/>
      <c r="AB239" s="382"/>
      <c r="AC239" s="382"/>
      <c r="AD239" s="382"/>
      <c r="AE239" s="382"/>
      <c r="AF239" s="382"/>
      <c r="AG239" s="382"/>
      <c r="AH239" s="382"/>
      <c r="AI239" s="382"/>
    </row>
    <row r="240" spans="2:35" ht="12.75" customHeight="1" thickBot="1" x14ac:dyDescent="0.25">
      <c r="B240" s="252"/>
      <c r="D240" s="362"/>
      <c r="E240" s="362"/>
      <c r="F240" s="369"/>
      <c r="G240" s="370"/>
      <c r="H240" s="370"/>
      <c r="I240" s="370"/>
      <c r="J240" s="371"/>
      <c r="K240" s="374"/>
      <c r="L240" s="8" t="str">
        <f t="shared" ref="L240:Q240" si="11">IF(OR(TRIM(L225)=0,TRIM(L225)=""),"",IFERROR(TRIM(INDEX(QryItemNamed,MATCH(TRIM(L225),ITEM,0),3)),""))</f>
        <v/>
      </c>
      <c r="M240" s="8" t="str">
        <f t="shared" si="11"/>
        <v/>
      </c>
      <c r="N240" s="8" t="str">
        <f t="shared" si="11"/>
        <v>MILE</v>
      </c>
      <c r="O240" s="8" t="str">
        <f t="shared" si="11"/>
        <v>MILE</v>
      </c>
      <c r="P240" s="8" t="str">
        <f t="shared" si="11"/>
        <v>MILE</v>
      </c>
      <c r="Q240" s="8" t="str">
        <f t="shared" si="11"/>
        <v>FT</v>
      </c>
      <c r="R240" s="8" t="s">
        <v>46</v>
      </c>
      <c r="S240" s="8" t="s">
        <v>46</v>
      </c>
      <c r="T240" s="8" t="s">
        <v>46</v>
      </c>
      <c r="U240" s="8" t="s">
        <v>51</v>
      </c>
      <c r="V240" s="8" t="s">
        <v>51</v>
      </c>
      <c r="W240" s="8" t="s">
        <v>51</v>
      </c>
      <c r="X240" s="8" t="str">
        <f>IF(OR(TRIM(X225)=0,TRIM(X225)=""),"",IFERROR(TRIM(INDEX(QryItemNamed,MATCH(TRIM(X225),ITEM,0),3)),""))</f>
        <v>FT</v>
      </c>
      <c r="Y240" s="8" t="s">
        <v>46</v>
      </c>
      <c r="Z240" s="8" t="str">
        <f t="shared" ref="Z240:AE240" si="12">IF(OR(TRIM(Z225)=0,TRIM(Z225)=""),"",IFERROR(TRIM(INDEX(QryItemNamed,MATCH(TRIM(Z225),ITEM,0),3)),""))</f>
        <v>FT</v>
      </c>
      <c r="AA240" s="8" t="str">
        <f t="shared" si="12"/>
        <v>EACH</v>
      </c>
      <c r="AB240" s="8" t="str">
        <f t="shared" si="12"/>
        <v>MILE</v>
      </c>
      <c r="AC240" s="8" t="str">
        <f t="shared" si="12"/>
        <v>MILE</v>
      </c>
      <c r="AD240" s="8" t="str">
        <f t="shared" si="12"/>
        <v>MILE</v>
      </c>
      <c r="AE240" s="8" t="str">
        <f t="shared" si="12"/>
        <v>MILE</v>
      </c>
      <c r="AF240" s="8" t="str">
        <f>IF(OR(TRIM(AF225)=0,TRIM(AF225)=""),"",IFERROR(TRIM(INDEX(QryItemNamed,MATCH(TRIM(AF225),ITEM,0),3)),""))</f>
        <v>FT</v>
      </c>
      <c r="AG240" s="8" t="str">
        <f>IF(OR(TRIM(AG225)=0,TRIM(AG225)=""),"",IFERROR(TRIM(INDEX(QryItemNamed,MATCH(TRIM(AG225),ITEM,0),3)),""))</f>
        <v>SF</v>
      </c>
      <c r="AH240" s="8" t="str">
        <f>IF(OR(TRIM(AH225)=0,TRIM(AH225)=""),"",IFERROR(TRIM(INDEX(QryItemNamed,MATCH(TRIM(AH225),ITEM,0),3)),""))</f>
        <v>EACH</v>
      </c>
      <c r="AI240" s="8" t="str">
        <f>IF(OR(TRIM(AI225)=0,TRIM(AI225)=""),"",IFERROR(TRIM(INDEX(QryItemNamed,MATCH(TRIM(AI225),ITEM,0),3)),""))</f>
        <v>EACH</v>
      </c>
    </row>
    <row r="241" spans="2:35" ht="12.75" customHeight="1" x14ac:dyDescent="0.2">
      <c r="B241" s="21"/>
      <c r="D241" s="37" t="s">
        <v>200</v>
      </c>
      <c r="E241" s="9">
        <v>23</v>
      </c>
      <c r="F241" s="337">
        <v>70595</v>
      </c>
      <c r="G241" s="339"/>
      <c r="H241" s="9" t="s">
        <v>1</v>
      </c>
      <c r="I241" s="344"/>
      <c r="J241" s="349"/>
      <c r="K241" s="38" t="s">
        <v>25</v>
      </c>
      <c r="L241" s="9"/>
      <c r="M241" s="9"/>
      <c r="N241" s="9"/>
      <c r="O241" s="9"/>
      <c r="P241" s="9"/>
      <c r="Q241" s="9"/>
      <c r="R241" s="9"/>
      <c r="S241" s="9">
        <f>42+32</f>
        <v>74</v>
      </c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2:35" ht="12.75" customHeight="1" x14ac:dyDescent="0.2">
      <c r="B242" s="22"/>
      <c r="D242" s="11" t="s">
        <v>272</v>
      </c>
      <c r="E242" s="11">
        <v>23</v>
      </c>
      <c r="F242" s="337">
        <v>70715</v>
      </c>
      <c r="G242" s="339"/>
      <c r="H242" s="11"/>
      <c r="I242" s="344"/>
      <c r="J242" s="349"/>
      <c r="K242" s="11" t="s">
        <v>25</v>
      </c>
      <c r="L242" s="11"/>
      <c r="M242" s="11"/>
      <c r="N242" s="35"/>
      <c r="O242" s="11"/>
      <c r="P242" s="11"/>
      <c r="Q242" s="11"/>
      <c r="R242" s="11"/>
      <c r="S242" s="11">
        <f>16+16</f>
        <v>32</v>
      </c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2:35" ht="12.75" customHeight="1" x14ac:dyDescent="0.2">
      <c r="B243" s="22"/>
      <c r="D243" s="11" t="s">
        <v>273</v>
      </c>
      <c r="E243" s="11">
        <v>23</v>
      </c>
      <c r="F243" s="337">
        <v>70595</v>
      </c>
      <c r="G243" s="339"/>
      <c r="H243" s="11"/>
      <c r="I243" s="12"/>
      <c r="J243" s="50"/>
      <c r="K243" s="13" t="s">
        <v>25</v>
      </c>
      <c r="L243" s="11"/>
      <c r="M243" s="11"/>
      <c r="N243" s="35"/>
      <c r="O243" s="11"/>
      <c r="P243" s="11"/>
      <c r="Q243" s="11"/>
      <c r="R243" s="11"/>
      <c r="S243" s="11"/>
      <c r="T243" s="11"/>
      <c r="U243" s="11"/>
      <c r="V243" s="11">
        <v>1</v>
      </c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2:35" ht="12.75" customHeight="1" x14ac:dyDescent="0.2">
      <c r="B244" s="22"/>
      <c r="D244" s="11" t="s">
        <v>274</v>
      </c>
      <c r="E244" s="11">
        <v>23</v>
      </c>
      <c r="F244" s="337">
        <v>70495</v>
      </c>
      <c r="G244" s="339"/>
      <c r="H244" s="11"/>
      <c r="I244" s="12"/>
      <c r="J244" s="50"/>
      <c r="K244" s="13" t="s">
        <v>25</v>
      </c>
      <c r="L244" s="11"/>
      <c r="M244" s="11"/>
      <c r="N244" s="35"/>
      <c r="O244" s="11"/>
      <c r="P244" s="11"/>
      <c r="Q244" s="11"/>
      <c r="R244" s="11"/>
      <c r="S244" s="11"/>
      <c r="T244" s="11"/>
      <c r="U244" s="11"/>
      <c r="V244" s="11">
        <v>1</v>
      </c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2:35" ht="12.75" customHeight="1" x14ac:dyDescent="0.2">
      <c r="B245" s="22"/>
      <c r="D245" s="11" t="s">
        <v>620</v>
      </c>
      <c r="E245" s="11">
        <v>23</v>
      </c>
      <c r="F245" s="337">
        <v>70250</v>
      </c>
      <c r="G245" s="339"/>
      <c r="H245" s="11"/>
      <c r="I245" s="344">
        <v>70595</v>
      </c>
      <c r="J245" s="349"/>
      <c r="K245" s="13" t="s">
        <v>25</v>
      </c>
      <c r="L245" s="11"/>
      <c r="M245" s="11"/>
      <c r="N245" s="35"/>
      <c r="O245" s="11"/>
      <c r="P245" s="11"/>
      <c r="Q245" s="32">
        <f>I245-F245</f>
        <v>345</v>
      </c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2:35" ht="12.75" customHeight="1" x14ac:dyDescent="0.2">
      <c r="B246" s="22"/>
      <c r="D246" s="11" t="s">
        <v>621</v>
      </c>
      <c r="E246" s="11">
        <v>23</v>
      </c>
      <c r="F246" s="337">
        <v>70250</v>
      </c>
      <c r="G246" s="339"/>
      <c r="H246" s="11"/>
      <c r="I246" s="344">
        <v>70595</v>
      </c>
      <c r="J246" s="349"/>
      <c r="K246" s="13" t="s">
        <v>25</v>
      </c>
      <c r="L246" s="53">
        <f>ROUNDUP((I246-F246)/40,0)</f>
        <v>9</v>
      </c>
      <c r="M246" s="11"/>
      <c r="N246" s="35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2:35" ht="12.75" customHeight="1" x14ac:dyDescent="0.2">
      <c r="B247" s="22"/>
      <c r="D247" s="11" t="s">
        <v>275</v>
      </c>
      <c r="E247" s="11">
        <v>24</v>
      </c>
      <c r="F247" s="337">
        <v>70750</v>
      </c>
      <c r="G247" s="339"/>
      <c r="H247" s="11"/>
      <c r="I247" s="337">
        <v>71000</v>
      </c>
      <c r="J247" s="339"/>
      <c r="K247" s="13" t="s">
        <v>25</v>
      </c>
      <c r="L247" s="11"/>
      <c r="M247" s="11"/>
      <c r="N247" s="35">
        <f>(I247-F247)/5280</f>
        <v>4.7348484848484848E-2</v>
      </c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2:35" ht="12.75" customHeight="1" x14ac:dyDescent="0.2">
      <c r="B248" s="22"/>
      <c r="D248" s="11" t="s">
        <v>276</v>
      </c>
      <c r="E248" s="11">
        <v>24</v>
      </c>
      <c r="F248" s="337">
        <v>71035</v>
      </c>
      <c r="G248" s="339"/>
      <c r="H248" s="11"/>
      <c r="I248" s="337">
        <v>71055</v>
      </c>
      <c r="J248" s="339"/>
      <c r="K248" s="13" t="s">
        <v>25</v>
      </c>
      <c r="L248" s="11"/>
      <c r="M248" s="11"/>
      <c r="N248" s="35">
        <f>(11.5+16.5)/5280</f>
        <v>5.3030303030303034E-3</v>
      </c>
      <c r="O248" s="35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2:35" ht="12.75" customHeight="1" x14ac:dyDescent="0.2">
      <c r="B249" s="22"/>
      <c r="D249" s="11" t="s">
        <v>277</v>
      </c>
      <c r="E249" s="11">
        <v>24</v>
      </c>
      <c r="F249" s="337">
        <v>71034</v>
      </c>
      <c r="G249" s="339"/>
      <c r="H249" s="11"/>
      <c r="I249" s="337">
        <v>71124</v>
      </c>
      <c r="J249" s="339"/>
      <c r="K249" s="13" t="s">
        <v>25</v>
      </c>
      <c r="L249" s="11"/>
      <c r="M249" s="11"/>
      <c r="N249" s="35">
        <f>(I249-F249)/5280</f>
        <v>1.7045454545454544E-2</v>
      </c>
      <c r="O249" s="35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2:35" ht="12.75" customHeight="1" x14ac:dyDescent="0.2">
      <c r="B250" s="22"/>
      <c r="D250" s="11" t="s">
        <v>278</v>
      </c>
      <c r="E250" s="11">
        <v>24</v>
      </c>
      <c r="F250" s="337">
        <v>71100</v>
      </c>
      <c r="G250" s="339"/>
      <c r="H250" s="11"/>
      <c r="I250" s="337">
        <v>71250</v>
      </c>
      <c r="J250" s="339"/>
      <c r="K250" s="13" t="s">
        <v>25</v>
      </c>
      <c r="L250" s="11"/>
      <c r="M250" s="11"/>
      <c r="N250" s="35">
        <f>(I250-F250)/5280</f>
        <v>2.8409090909090908E-2</v>
      </c>
      <c r="O250" s="11"/>
      <c r="P250" s="35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2:35" ht="12.75" customHeight="1" x14ac:dyDescent="0.2">
      <c r="B251" s="22"/>
      <c r="D251" s="11" t="s">
        <v>279</v>
      </c>
      <c r="E251" s="11">
        <v>24</v>
      </c>
      <c r="F251" s="337">
        <v>70750</v>
      </c>
      <c r="G251" s="339"/>
      <c r="H251" s="11"/>
      <c r="I251" s="337">
        <v>71250</v>
      </c>
      <c r="J251" s="339"/>
      <c r="K251" s="13" t="s">
        <v>24</v>
      </c>
      <c r="L251" s="11"/>
      <c r="M251" s="11"/>
      <c r="N251" s="35">
        <f>(I251-F251)/5280</f>
        <v>9.4696969696969696E-2</v>
      </c>
      <c r="O251" s="11"/>
      <c r="P251" s="35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2:35" ht="12.75" customHeight="1" x14ac:dyDescent="0.2">
      <c r="B252" s="22"/>
      <c r="D252" s="11" t="s">
        <v>280</v>
      </c>
      <c r="E252" s="11">
        <v>24</v>
      </c>
      <c r="F252" s="337">
        <v>71000</v>
      </c>
      <c r="G252" s="339"/>
      <c r="H252" s="11"/>
      <c r="I252" s="344"/>
      <c r="J252" s="349"/>
      <c r="K252" s="13" t="s">
        <v>25</v>
      </c>
      <c r="L252" s="11"/>
      <c r="M252" s="11"/>
      <c r="N252" s="11"/>
      <c r="O252" s="35">
        <f>(10+21)/5280</f>
        <v>5.8712121212121209E-3</v>
      </c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2:35" ht="12.75" customHeight="1" x14ac:dyDescent="0.2">
      <c r="B253" s="22"/>
      <c r="D253" s="11" t="s">
        <v>281</v>
      </c>
      <c r="E253" s="11">
        <v>24</v>
      </c>
      <c r="F253" s="344"/>
      <c r="G253" s="349"/>
      <c r="H253" s="11"/>
      <c r="I253" s="344"/>
      <c r="J253" s="349"/>
      <c r="K253" s="13" t="s">
        <v>25</v>
      </c>
      <c r="L253" s="11"/>
      <c r="M253" s="11"/>
      <c r="N253" s="35"/>
      <c r="O253" s="35">
        <f>11/5280</f>
        <v>2.0833333333333333E-3</v>
      </c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2:35" ht="12.75" customHeight="1" x14ac:dyDescent="0.2">
      <c r="B254" s="22"/>
      <c r="D254" s="11" t="s">
        <v>282</v>
      </c>
      <c r="E254" s="11">
        <v>24</v>
      </c>
      <c r="F254" s="344"/>
      <c r="G254" s="349"/>
      <c r="H254" s="11"/>
      <c r="I254" s="337">
        <v>71124</v>
      </c>
      <c r="J254" s="339"/>
      <c r="K254" s="13" t="s">
        <v>25</v>
      </c>
      <c r="L254" s="11"/>
      <c r="M254" s="11"/>
      <c r="N254" s="35"/>
      <c r="O254" s="35">
        <f>(11.5+32.5)/5280</f>
        <v>8.3333333333333332E-3</v>
      </c>
      <c r="P254" s="35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2:35" ht="12.75" customHeight="1" x14ac:dyDescent="0.2">
      <c r="B255" s="22"/>
      <c r="D255" s="11" t="s">
        <v>283</v>
      </c>
      <c r="E255" s="11">
        <v>24</v>
      </c>
      <c r="F255" s="344"/>
      <c r="G255" s="349"/>
      <c r="H255" s="11"/>
      <c r="I255" s="344"/>
      <c r="J255" s="349"/>
      <c r="K255" s="13" t="s">
        <v>25</v>
      </c>
      <c r="L255" s="11"/>
      <c r="M255" s="11"/>
      <c r="N255" s="11"/>
      <c r="O255" s="35">
        <f>10/5280</f>
        <v>1.893939393939394E-3</v>
      </c>
      <c r="P255" s="35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2:35" ht="12.75" customHeight="1" x14ac:dyDescent="0.2">
      <c r="B256" s="22"/>
      <c r="D256" s="11" t="s">
        <v>284</v>
      </c>
      <c r="E256" s="11">
        <v>24</v>
      </c>
      <c r="F256" s="337">
        <v>70750</v>
      </c>
      <c r="G256" s="339"/>
      <c r="H256" s="11"/>
      <c r="I256" s="337">
        <v>71250</v>
      </c>
      <c r="J256" s="339"/>
      <c r="K256" s="13" t="s">
        <v>25</v>
      </c>
      <c r="L256" s="11"/>
      <c r="M256" s="11"/>
      <c r="N256" s="35"/>
      <c r="O256" s="11"/>
      <c r="P256" s="35">
        <f>(I256-F256)/5280</f>
        <v>9.4696969696969696E-2</v>
      </c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2:35" ht="12.75" customHeight="1" x14ac:dyDescent="0.2">
      <c r="B257" s="22"/>
      <c r="D257" s="11" t="s">
        <v>622</v>
      </c>
      <c r="E257" s="11">
        <v>24</v>
      </c>
      <c r="F257" s="337">
        <v>70750</v>
      </c>
      <c r="G257" s="339"/>
      <c r="H257" s="11"/>
      <c r="I257" s="337">
        <v>71250</v>
      </c>
      <c r="J257" s="339"/>
      <c r="K257" s="13" t="s">
        <v>25</v>
      </c>
      <c r="L257" s="53">
        <f>ROUNDUP((I257-F257)/80,0)</f>
        <v>7</v>
      </c>
      <c r="M257" s="11"/>
      <c r="N257" s="35"/>
      <c r="O257" s="11"/>
      <c r="P257" s="35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2:35" ht="12.75" customHeight="1" x14ac:dyDescent="0.2">
      <c r="B258" s="22"/>
      <c r="D258" s="11" t="s">
        <v>285</v>
      </c>
      <c r="E258" s="11">
        <v>24</v>
      </c>
      <c r="F258" s="337">
        <v>70750</v>
      </c>
      <c r="G258" s="339"/>
      <c r="H258" s="11"/>
      <c r="I258" s="337">
        <v>71250</v>
      </c>
      <c r="J258" s="339"/>
      <c r="K258" s="13" t="s">
        <v>24</v>
      </c>
      <c r="L258" s="11"/>
      <c r="M258" s="11"/>
      <c r="N258" s="11"/>
      <c r="O258" s="11"/>
      <c r="P258" s="35">
        <f>(I258-F258)/5280</f>
        <v>9.4696969696969696E-2</v>
      </c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2:35" ht="12.75" customHeight="1" x14ac:dyDescent="0.2">
      <c r="B259" s="22"/>
      <c r="D259" s="11" t="s">
        <v>623</v>
      </c>
      <c r="E259" s="11">
        <v>24</v>
      </c>
      <c r="F259" s="337">
        <v>70750</v>
      </c>
      <c r="G259" s="339"/>
      <c r="H259" s="11"/>
      <c r="I259" s="337">
        <v>71250</v>
      </c>
      <c r="J259" s="339"/>
      <c r="K259" s="13" t="s">
        <v>24</v>
      </c>
      <c r="L259" s="53">
        <f>ROUNDUP((I259-F259)/80,0)</f>
        <v>7</v>
      </c>
      <c r="M259" s="11"/>
      <c r="N259" s="11"/>
      <c r="O259" s="11"/>
      <c r="P259" s="35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2:35" ht="12.75" customHeight="1" x14ac:dyDescent="0.2">
      <c r="B260" s="22"/>
      <c r="D260" s="11" t="s">
        <v>286</v>
      </c>
      <c r="E260" s="11">
        <v>24</v>
      </c>
      <c r="F260" s="337">
        <v>71030</v>
      </c>
      <c r="G260" s="339"/>
      <c r="H260" s="11"/>
      <c r="I260" s="344"/>
      <c r="J260" s="349"/>
      <c r="K260" s="13" t="s">
        <v>25</v>
      </c>
      <c r="L260" s="11"/>
      <c r="M260" s="11"/>
      <c r="N260" s="35"/>
      <c r="O260" s="11"/>
      <c r="P260" s="11"/>
      <c r="Q260" s="11"/>
      <c r="R260" s="11"/>
      <c r="S260" s="11">
        <f>21+21</f>
        <v>42</v>
      </c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2:35" ht="12.75" customHeight="1" x14ac:dyDescent="0.2">
      <c r="B261" s="22"/>
      <c r="D261" s="11" t="s">
        <v>287</v>
      </c>
      <c r="E261" s="11">
        <v>24</v>
      </c>
      <c r="F261" s="337">
        <v>71100</v>
      </c>
      <c r="G261" s="339"/>
      <c r="H261" s="11"/>
      <c r="I261" s="344"/>
      <c r="J261" s="349"/>
      <c r="K261" s="13" t="s">
        <v>25</v>
      </c>
      <c r="L261" s="11"/>
      <c r="M261" s="11"/>
      <c r="N261" s="35"/>
      <c r="O261" s="11"/>
      <c r="P261" s="11"/>
      <c r="Q261" s="11"/>
      <c r="R261" s="11"/>
      <c r="S261" s="11">
        <f>19+19</f>
        <v>38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2:35" ht="12.75" customHeight="1" x14ac:dyDescent="0.2">
      <c r="B262" s="22"/>
      <c r="D262" s="11" t="s">
        <v>288</v>
      </c>
      <c r="E262" s="11">
        <v>25</v>
      </c>
      <c r="F262" s="337">
        <v>71250</v>
      </c>
      <c r="G262" s="339"/>
      <c r="H262" s="11"/>
      <c r="I262" s="337">
        <v>71750</v>
      </c>
      <c r="J262" s="339"/>
      <c r="K262" s="13" t="s">
        <v>25</v>
      </c>
      <c r="L262" s="11"/>
      <c r="M262" s="11"/>
      <c r="N262" s="35">
        <f>(I262-F262)/5280</f>
        <v>9.4696969696969696E-2</v>
      </c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2:35" ht="12.75" customHeight="1" x14ac:dyDescent="0.2">
      <c r="B263" s="22"/>
      <c r="D263" s="11" t="s">
        <v>289</v>
      </c>
      <c r="E263" s="11">
        <v>25</v>
      </c>
      <c r="F263" s="337">
        <v>71250</v>
      </c>
      <c r="G263" s="339"/>
      <c r="H263" s="11"/>
      <c r="I263" s="337">
        <v>71750</v>
      </c>
      <c r="J263" s="339"/>
      <c r="K263" s="13" t="s">
        <v>24</v>
      </c>
      <c r="L263" s="11"/>
      <c r="M263" s="11"/>
      <c r="N263" s="35">
        <f>(I263-F263)/5280</f>
        <v>9.4696969696969696E-2</v>
      </c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2:35" ht="12.6" customHeight="1" x14ac:dyDescent="0.2">
      <c r="B264" s="22"/>
      <c r="D264" s="11" t="s">
        <v>290</v>
      </c>
      <c r="E264" s="11">
        <v>25</v>
      </c>
      <c r="F264" s="337">
        <v>71250</v>
      </c>
      <c r="G264" s="339"/>
      <c r="H264" s="11"/>
      <c r="I264" s="337">
        <v>71750</v>
      </c>
      <c r="J264" s="339"/>
      <c r="K264" s="13" t="s">
        <v>25</v>
      </c>
      <c r="L264" s="11"/>
      <c r="M264" s="11"/>
      <c r="N264" s="11"/>
      <c r="O264" s="11"/>
      <c r="P264" s="35">
        <f>(I264-F264)/5280</f>
        <v>9.4696969696969696E-2</v>
      </c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2:35" ht="12.6" customHeight="1" x14ac:dyDescent="0.2">
      <c r="B265" s="22"/>
      <c r="D265" s="11" t="s">
        <v>624</v>
      </c>
      <c r="E265" s="11">
        <v>25</v>
      </c>
      <c r="F265" s="337">
        <v>71250</v>
      </c>
      <c r="G265" s="339"/>
      <c r="H265" s="11"/>
      <c r="I265" s="337">
        <v>71750</v>
      </c>
      <c r="J265" s="339"/>
      <c r="K265" s="13" t="s">
        <v>25</v>
      </c>
      <c r="L265" s="53">
        <f>ROUNDUP((I265-F265)/80,0)</f>
        <v>7</v>
      </c>
      <c r="M265" s="11"/>
      <c r="N265" s="11"/>
      <c r="O265" s="11"/>
      <c r="P265" s="35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2:35" ht="12.75" customHeight="1" x14ac:dyDescent="0.2">
      <c r="B266" s="22"/>
      <c r="D266" s="11" t="s">
        <v>291</v>
      </c>
      <c r="E266" s="11">
        <v>25</v>
      </c>
      <c r="F266" s="337">
        <v>71250</v>
      </c>
      <c r="G266" s="339"/>
      <c r="H266" s="11"/>
      <c r="I266" s="337">
        <v>71750</v>
      </c>
      <c r="J266" s="339"/>
      <c r="K266" s="13" t="s">
        <v>25</v>
      </c>
      <c r="L266" s="11"/>
      <c r="M266" s="11"/>
      <c r="N266" s="11"/>
      <c r="O266" s="11"/>
      <c r="P266" s="35">
        <f>(I266-F266)/5280</f>
        <v>9.4696969696969696E-2</v>
      </c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2:35" ht="12.75" customHeight="1" x14ac:dyDescent="0.2">
      <c r="B267" s="22"/>
      <c r="D267" s="11" t="s">
        <v>625</v>
      </c>
      <c r="E267" s="11">
        <v>25</v>
      </c>
      <c r="F267" s="337">
        <v>71250</v>
      </c>
      <c r="G267" s="339"/>
      <c r="H267" s="11"/>
      <c r="I267" s="337">
        <v>71750</v>
      </c>
      <c r="J267" s="339"/>
      <c r="K267" s="13" t="s">
        <v>25</v>
      </c>
      <c r="L267" s="53">
        <f>ROUNDUP((I267-F267)/80,0)</f>
        <v>7</v>
      </c>
      <c r="M267" s="11"/>
      <c r="N267" s="11"/>
      <c r="O267" s="11"/>
      <c r="P267" s="35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2:35" ht="12.75" customHeight="1" x14ac:dyDescent="0.2">
      <c r="B268" s="22"/>
      <c r="D268" s="11" t="s">
        <v>292</v>
      </c>
      <c r="E268" s="11">
        <v>26</v>
      </c>
      <c r="F268" s="337">
        <v>71750</v>
      </c>
      <c r="G268" s="339"/>
      <c r="H268" s="11"/>
      <c r="I268" s="337">
        <v>72300</v>
      </c>
      <c r="J268" s="339"/>
      <c r="K268" s="13" t="s">
        <v>25</v>
      </c>
      <c r="L268" s="11"/>
      <c r="M268" s="11"/>
      <c r="N268" s="35">
        <f>(I268-F268)/5280</f>
        <v>0.10416666666666667</v>
      </c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2:35" ht="12.75" customHeight="1" x14ac:dyDescent="0.2">
      <c r="B269" s="22"/>
      <c r="D269" s="11" t="s">
        <v>293</v>
      </c>
      <c r="E269" s="11">
        <v>26</v>
      </c>
      <c r="F269" s="337">
        <v>71750</v>
      </c>
      <c r="G269" s="339"/>
      <c r="H269" s="11"/>
      <c r="I269" s="337">
        <v>72300</v>
      </c>
      <c r="J269" s="339"/>
      <c r="K269" s="13" t="s">
        <v>24</v>
      </c>
      <c r="L269" s="11"/>
      <c r="M269" s="11"/>
      <c r="N269" s="35">
        <f>(I269-F269)/5280</f>
        <v>0.10416666666666667</v>
      </c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2:35" ht="12.6" customHeight="1" x14ac:dyDescent="0.2">
      <c r="B270" s="22"/>
      <c r="D270" s="11" t="s">
        <v>294</v>
      </c>
      <c r="E270" s="11">
        <v>26</v>
      </c>
      <c r="F270" s="337">
        <v>71750</v>
      </c>
      <c r="G270" s="339"/>
      <c r="H270" s="11"/>
      <c r="I270" s="337">
        <v>72300</v>
      </c>
      <c r="J270" s="339"/>
      <c r="K270" s="13" t="s">
        <v>25</v>
      </c>
      <c r="L270" s="11"/>
      <c r="M270" s="11"/>
      <c r="N270" s="11"/>
      <c r="O270" s="11"/>
      <c r="P270" s="35">
        <f>(I270-F270)/5280</f>
        <v>0.10416666666666667</v>
      </c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2:35" ht="12.6" customHeight="1" x14ac:dyDescent="0.2">
      <c r="B271" s="22"/>
      <c r="D271" s="11" t="s">
        <v>626</v>
      </c>
      <c r="E271" s="11">
        <v>26</v>
      </c>
      <c r="F271" s="337">
        <v>71750</v>
      </c>
      <c r="G271" s="339"/>
      <c r="H271" s="11"/>
      <c r="I271" s="337">
        <v>72300</v>
      </c>
      <c r="J271" s="339"/>
      <c r="K271" s="13" t="s">
        <v>25</v>
      </c>
      <c r="L271" s="53">
        <f>ROUNDUP((I271-F271)/80,0)</f>
        <v>7</v>
      </c>
      <c r="M271" s="11"/>
      <c r="N271" s="11"/>
      <c r="O271" s="11"/>
      <c r="P271" s="35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2:35" ht="12.75" customHeight="1" x14ac:dyDescent="0.2">
      <c r="B272" s="22"/>
      <c r="D272" s="11" t="s">
        <v>295</v>
      </c>
      <c r="E272" s="11">
        <v>26</v>
      </c>
      <c r="F272" s="337">
        <v>71750</v>
      </c>
      <c r="G272" s="339"/>
      <c r="H272" s="11"/>
      <c r="I272" s="337">
        <v>71891</v>
      </c>
      <c r="J272" s="339"/>
      <c r="K272" s="13"/>
      <c r="L272" s="11"/>
      <c r="M272" s="11"/>
      <c r="N272" s="11"/>
      <c r="O272" s="11"/>
      <c r="P272" s="35">
        <f>(I272-F272)/5280</f>
        <v>2.6704545454545453E-2</v>
      </c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2:35" ht="12.75" customHeight="1" x14ac:dyDescent="0.2">
      <c r="B273" s="22"/>
      <c r="D273" s="11" t="s">
        <v>627</v>
      </c>
      <c r="E273" s="11">
        <v>26</v>
      </c>
      <c r="F273" s="337">
        <v>71750</v>
      </c>
      <c r="G273" s="339"/>
      <c r="H273" s="11"/>
      <c r="I273" s="337">
        <v>71891</v>
      </c>
      <c r="J273" s="339"/>
      <c r="K273" s="13"/>
      <c r="L273" s="53">
        <f>ROUNDUP((I273-F273)/80,0)</f>
        <v>2</v>
      </c>
      <c r="M273" s="11"/>
      <c r="N273" s="11"/>
      <c r="O273" s="11"/>
      <c r="P273" s="35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2:35" ht="12.75" customHeight="1" x14ac:dyDescent="0.2">
      <c r="B274" s="22"/>
      <c r="D274" s="11" t="s">
        <v>296</v>
      </c>
      <c r="E274" s="11">
        <v>27</v>
      </c>
      <c r="F274" s="337">
        <v>72300</v>
      </c>
      <c r="G274" s="339"/>
      <c r="H274" s="11"/>
      <c r="I274" s="337">
        <v>72861</v>
      </c>
      <c r="J274" s="339"/>
      <c r="K274" s="13" t="s">
        <v>25</v>
      </c>
      <c r="L274" s="11"/>
      <c r="M274" s="11"/>
      <c r="N274" s="35">
        <f>(I274-F274)/5280</f>
        <v>0.10625</v>
      </c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2:35" ht="12.75" customHeight="1" x14ac:dyDescent="0.2">
      <c r="B275" s="22"/>
      <c r="D275" s="11" t="s">
        <v>297</v>
      </c>
      <c r="E275" s="11">
        <v>27</v>
      </c>
      <c r="F275" s="337">
        <v>72300</v>
      </c>
      <c r="G275" s="339"/>
      <c r="H275" s="11"/>
      <c r="I275" s="337">
        <v>72861</v>
      </c>
      <c r="J275" s="339"/>
      <c r="K275" s="13" t="s">
        <v>24</v>
      </c>
      <c r="L275" s="11"/>
      <c r="M275" s="11"/>
      <c r="N275" s="35">
        <f>(I275-F275)/5280</f>
        <v>0.10625</v>
      </c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2:35" ht="12.75" customHeight="1" x14ac:dyDescent="0.2">
      <c r="B276" s="22"/>
      <c r="D276" s="11" t="s">
        <v>298</v>
      </c>
      <c r="E276" s="11">
        <v>27</v>
      </c>
      <c r="F276" s="337">
        <v>72300</v>
      </c>
      <c r="G276" s="339"/>
      <c r="H276" s="11"/>
      <c r="I276" s="337">
        <v>72861</v>
      </c>
      <c r="J276" s="339"/>
      <c r="K276" s="13" t="s">
        <v>61</v>
      </c>
      <c r="L276" s="11"/>
      <c r="M276" s="11"/>
      <c r="N276" s="11"/>
      <c r="O276" s="11"/>
      <c r="P276" s="35">
        <f>(I276-F276)/5280</f>
        <v>0.10625</v>
      </c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2:35" ht="12.75" customHeight="1" x14ac:dyDescent="0.2">
      <c r="B277" s="22"/>
      <c r="D277" s="11" t="s">
        <v>628</v>
      </c>
      <c r="E277" s="11">
        <v>27</v>
      </c>
      <c r="F277" s="337">
        <v>72300</v>
      </c>
      <c r="G277" s="339"/>
      <c r="H277" s="11"/>
      <c r="I277" s="337">
        <v>72861</v>
      </c>
      <c r="J277" s="339"/>
      <c r="K277" s="13" t="s">
        <v>61</v>
      </c>
      <c r="L277" s="53">
        <f>ROUNDUP((I277-F277)/80,0)</f>
        <v>8</v>
      </c>
      <c r="M277" s="11"/>
      <c r="N277" s="11"/>
      <c r="O277" s="11"/>
      <c r="P277" s="35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:35" ht="12.75" customHeight="1" x14ac:dyDescent="0.2">
      <c r="B278" s="22"/>
      <c r="D278" s="11" t="s">
        <v>299</v>
      </c>
      <c r="E278" s="11">
        <v>28</v>
      </c>
      <c r="F278" s="337">
        <v>172609</v>
      </c>
      <c r="G278" s="339"/>
      <c r="H278" s="11"/>
      <c r="I278" s="337">
        <v>172800</v>
      </c>
      <c r="J278" s="339"/>
      <c r="K278" s="13" t="s">
        <v>25</v>
      </c>
      <c r="L278" s="11"/>
      <c r="M278" s="11"/>
      <c r="N278" s="35">
        <f>(I278-F278)/5280</f>
        <v>3.6174242424242421E-2</v>
      </c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:35" ht="12.75" customHeight="1" x14ac:dyDescent="0.2">
      <c r="B279" s="22"/>
      <c r="D279" s="11" t="s">
        <v>300</v>
      </c>
      <c r="E279" s="11">
        <v>28</v>
      </c>
      <c r="F279" s="337">
        <v>172609</v>
      </c>
      <c r="G279" s="339"/>
      <c r="H279" s="11"/>
      <c r="I279" s="337">
        <v>172800</v>
      </c>
      <c r="J279" s="339"/>
      <c r="K279" s="13" t="s">
        <v>24</v>
      </c>
      <c r="L279" s="11"/>
      <c r="M279" s="11"/>
      <c r="N279" s="35">
        <f>(I279-F279)/5280</f>
        <v>3.6174242424242421E-2</v>
      </c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:35" ht="12.75" customHeight="1" x14ac:dyDescent="0.2">
      <c r="B280" s="22"/>
      <c r="D280" s="11" t="s">
        <v>301</v>
      </c>
      <c r="E280" s="11">
        <v>28</v>
      </c>
      <c r="F280" s="337">
        <v>172609</v>
      </c>
      <c r="G280" s="339"/>
      <c r="H280" s="11"/>
      <c r="I280" s="337">
        <v>172800</v>
      </c>
      <c r="J280" s="339"/>
      <c r="K280" s="13" t="s">
        <v>35</v>
      </c>
      <c r="L280" s="11"/>
      <c r="M280" s="11"/>
      <c r="N280" s="11"/>
      <c r="O280" s="11"/>
      <c r="P280" s="35">
        <f>(I280-F280)/5280</f>
        <v>3.6174242424242421E-2</v>
      </c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:35" ht="12.75" customHeight="1" x14ac:dyDescent="0.2">
      <c r="B281" s="22"/>
      <c r="D281" s="11" t="s">
        <v>629</v>
      </c>
      <c r="E281" s="11">
        <v>28</v>
      </c>
      <c r="F281" s="337">
        <v>172609</v>
      </c>
      <c r="G281" s="339"/>
      <c r="H281" s="11"/>
      <c r="I281" s="337">
        <v>172800</v>
      </c>
      <c r="J281" s="339"/>
      <c r="K281" s="13" t="s">
        <v>35</v>
      </c>
      <c r="L281" s="53">
        <f>ROUNDUP((I281-F281)/80,0)</f>
        <v>3</v>
      </c>
      <c r="M281" s="11"/>
      <c r="N281" s="11"/>
      <c r="O281" s="11"/>
      <c r="P281" s="35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:35" ht="12.75" customHeight="1" x14ac:dyDescent="0.2">
      <c r="B282" s="22"/>
      <c r="D282" s="11" t="s">
        <v>302</v>
      </c>
      <c r="E282" s="11">
        <v>29</v>
      </c>
      <c r="F282" s="337">
        <v>172800</v>
      </c>
      <c r="G282" s="339"/>
      <c r="H282" s="11"/>
      <c r="I282" s="337">
        <v>173300</v>
      </c>
      <c r="J282" s="339"/>
      <c r="K282" s="13" t="s">
        <v>25</v>
      </c>
      <c r="L282" s="11"/>
      <c r="M282" s="11"/>
      <c r="N282" s="35">
        <f>(I282-F282)/5280</f>
        <v>9.4696969696969696E-2</v>
      </c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:35" ht="12.75" customHeight="1" x14ac:dyDescent="0.2">
      <c r="B283" s="22"/>
      <c r="D283" s="11" t="s">
        <v>303</v>
      </c>
      <c r="E283" s="11">
        <v>29</v>
      </c>
      <c r="F283" s="337">
        <v>172800</v>
      </c>
      <c r="G283" s="339"/>
      <c r="H283" s="11"/>
      <c r="I283" s="337">
        <v>173300</v>
      </c>
      <c r="J283" s="339"/>
      <c r="K283" s="13" t="s">
        <v>24</v>
      </c>
      <c r="L283" s="11"/>
      <c r="M283" s="11"/>
      <c r="N283" s="35">
        <f>(I283-F283)/5280</f>
        <v>9.4696969696969696E-2</v>
      </c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2:35" ht="12.75" customHeight="1" x14ac:dyDescent="0.2">
      <c r="B284" s="22"/>
      <c r="D284" s="11" t="s">
        <v>304</v>
      </c>
      <c r="E284" s="11">
        <v>29</v>
      </c>
      <c r="F284" s="337">
        <v>172800</v>
      </c>
      <c r="G284" s="339"/>
      <c r="H284" s="11"/>
      <c r="I284" s="337">
        <v>173300</v>
      </c>
      <c r="J284" s="339"/>
      <c r="K284" s="13" t="s">
        <v>35</v>
      </c>
      <c r="L284" s="11"/>
      <c r="M284" s="11"/>
      <c r="N284" s="11"/>
      <c r="O284" s="11"/>
      <c r="P284" s="35">
        <f>(I284-F284)/5280</f>
        <v>9.4696969696969696E-2</v>
      </c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2:35" ht="12.75" customHeight="1" x14ac:dyDescent="0.2">
      <c r="B285" s="22"/>
      <c r="D285" s="11" t="s">
        <v>630</v>
      </c>
      <c r="E285" s="11">
        <v>29</v>
      </c>
      <c r="F285" s="337">
        <v>172800</v>
      </c>
      <c r="G285" s="339"/>
      <c r="H285" s="11"/>
      <c r="I285" s="337">
        <v>173300</v>
      </c>
      <c r="J285" s="339"/>
      <c r="K285" s="13" t="s">
        <v>35</v>
      </c>
      <c r="L285" s="53">
        <f>ROUNDUP((I285-F286)/80+(I286-F286)/20,0)</f>
        <v>6</v>
      </c>
      <c r="M285" s="11"/>
      <c r="N285" s="11"/>
      <c r="O285" s="11"/>
      <c r="P285" s="35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2:35" ht="12.75" customHeight="1" x14ac:dyDescent="0.2">
      <c r="B286" s="22"/>
      <c r="D286" s="11" t="s">
        <v>305</v>
      </c>
      <c r="E286" s="11">
        <v>29</v>
      </c>
      <c r="F286" s="337">
        <v>173208</v>
      </c>
      <c r="G286" s="339"/>
      <c r="H286" s="11"/>
      <c r="I286" s="337">
        <v>173300</v>
      </c>
      <c r="J286" s="339"/>
      <c r="K286" s="13" t="s">
        <v>35</v>
      </c>
      <c r="L286" s="11"/>
      <c r="M286" s="11"/>
      <c r="N286" s="11"/>
      <c r="O286" s="11"/>
      <c r="P286" s="35">
        <f>(I286-F286)/5280</f>
        <v>1.7424242424242425E-2</v>
      </c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2:35" ht="12.75" customHeight="1" x14ac:dyDescent="0.2">
      <c r="B287" s="22"/>
      <c r="D287" s="11" t="s">
        <v>631</v>
      </c>
      <c r="E287" s="11">
        <v>29</v>
      </c>
      <c r="F287" s="337">
        <v>173208</v>
      </c>
      <c r="G287" s="339"/>
      <c r="H287" s="11"/>
      <c r="I287" s="337">
        <v>173300</v>
      </c>
      <c r="J287" s="339"/>
      <c r="K287" s="13" t="s">
        <v>35</v>
      </c>
      <c r="L287" s="53">
        <f>ROUNDUP((I287-F287)/20,0)</f>
        <v>5</v>
      </c>
      <c r="M287" s="11"/>
      <c r="N287" s="11"/>
      <c r="O287" s="11"/>
      <c r="P287" s="35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2:35" ht="12.75" customHeight="1" x14ac:dyDescent="0.2">
      <c r="B288" s="22"/>
      <c r="D288" s="11" t="s">
        <v>306</v>
      </c>
      <c r="E288" s="11">
        <v>30</v>
      </c>
      <c r="F288" s="337">
        <v>173300</v>
      </c>
      <c r="G288" s="339"/>
      <c r="H288" s="11"/>
      <c r="I288" s="337">
        <v>173335</v>
      </c>
      <c r="J288" s="338"/>
      <c r="K288" s="13" t="s">
        <v>24</v>
      </c>
      <c r="L288" s="11"/>
      <c r="M288" s="11"/>
      <c r="N288" s="35">
        <f>(I288-F288)/5280</f>
        <v>6.628787878787879E-3</v>
      </c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2:35" ht="12.75" customHeight="1" x14ac:dyDescent="0.2">
      <c r="B289" s="22"/>
      <c r="D289" s="11" t="s">
        <v>313</v>
      </c>
      <c r="E289" s="11">
        <v>30</v>
      </c>
      <c r="F289" s="337">
        <v>173365</v>
      </c>
      <c r="G289" s="339"/>
      <c r="H289" s="11"/>
      <c r="I289" s="337">
        <v>173566</v>
      </c>
      <c r="J289" s="338"/>
      <c r="K289" s="13" t="s">
        <v>25</v>
      </c>
      <c r="L289" s="11"/>
      <c r="M289" s="11"/>
      <c r="N289" s="35"/>
      <c r="O289" s="35">
        <f>(I289-F289)/5280</f>
        <v>3.806818181818182E-2</v>
      </c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2:35" ht="12.75" customHeight="1" x14ac:dyDescent="0.2">
      <c r="B290" s="22"/>
      <c r="D290" s="11" t="s">
        <v>634</v>
      </c>
      <c r="E290" s="11">
        <v>30</v>
      </c>
      <c r="F290" s="337">
        <v>173365</v>
      </c>
      <c r="G290" s="339"/>
      <c r="H290" s="11"/>
      <c r="I290" s="337">
        <v>173566</v>
      </c>
      <c r="J290" s="338"/>
      <c r="K290" s="13" t="s">
        <v>25</v>
      </c>
      <c r="L290" s="53">
        <f>ROUNDUP((I290-F290)/40,0)</f>
        <v>6</v>
      </c>
      <c r="M290" s="11"/>
      <c r="N290" s="35"/>
      <c r="O290" s="35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2:35" ht="12.75" customHeight="1" x14ac:dyDescent="0.2">
      <c r="B291" s="22"/>
      <c r="D291" s="11" t="s">
        <v>314</v>
      </c>
      <c r="E291" s="11">
        <v>30</v>
      </c>
      <c r="F291" s="337">
        <v>173365</v>
      </c>
      <c r="G291" s="339"/>
      <c r="H291" s="11"/>
      <c r="I291" s="337">
        <v>173578</v>
      </c>
      <c r="J291" s="338"/>
      <c r="K291" s="13" t="s">
        <v>24</v>
      </c>
      <c r="L291" s="11"/>
      <c r="M291" s="11"/>
      <c r="N291" s="35"/>
      <c r="O291" s="35">
        <f>(I291-F291)/5280</f>
        <v>4.0340909090909094E-2</v>
      </c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2:35" ht="12.75" customHeight="1" x14ac:dyDescent="0.2">
      <c r="B292" s="22"/>
      <c r="D292" s="11" t="s">
        <v>635</v>
      </c>
      <c r="E292" s="11">
        <v>30</v>
      </c>
      <c r="F292" s="337">
        <v>173365</v>
      </c>
      <c r="G292" s="339"/>
      <c r="H292" s="11"/>
      <c r="I292" s="337">
        <v>173578</v>
      </c>
      <c r="J292" s="338"/>
      <c r="K292" s="13" t="s">
        <v>24</v>
      </c>
      <c r="L292" s="53">
        <f>ROUNDUP((I292-F292)/40,0)</f>
        <v>6</v>
      </c>
      <c r="M292" s="11"/>
      <c r="N292" s="35"/>
      <c r="O292" s="35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2:35" ht="12.75" customHeight="1" x14ac:dyDescent="0.2">
      <c r="B293" s="22"/>
      <c r="D293" s="11" t="s">
        <v>307</v>
      </c>
      <c r="E293" s="11">
        <v>30</v>
      </c>
      <c r="F293" s="337">
        <v>173455</v>
      </c>
      <c r="G293" s="339"/>
      <c r="H293" s="11"/>
      <c r="I293" s="337">
        <v>173589</v>
      </c>
      <c r="J293" s="338"/>
      <c r="K293" s="13" t="s">
        <v>24</v>
      </c>
      <c r="L293" s="11"/>
      <c r="M293" s="11"/>
      <c r="N293" s="11">
        <f>(27.5+41+63.5)/5280</f>
        <v>2.5000000000000001E-2</v>
      </c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2:35" ht="12.75" customHeight="1" x14ac:dyDescent="0.2">
      <c r="B294" s="22"/>
      <c r="D294" s="11" t="s">
        <v>638</v>
      </c>
      <c r="E294" s="11">
        <v>30</v>
      </c>
      <c r="F294" s="337">
        <v>173455</v>
      </c>
      <c r="G294" s="339"/>
      <c r="H294" s="11"/>
      <c r="I294" s="337">
        <v>173589</v>
      </c>
      <c r="J294" s="338"/>
      <c r="K294" s="13" t="s">
        <v>24</v>
      </c>
      <c r="L294" s="53">
        <f>ROUNDUP((I294-F294)/40,0)</f>
        <v>4</v>
      </c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2:35" ht="12.75" customHeight="1" x14ac:dyDescent="0.2">
      <c r="B295" s="22"/>
      <c r="D295" s="11" t="s">
        <v>308</v>
      </c>
      <c r="E295" s="11">
        <v>30</v>
      </c>
      <c r="F295" s="337">
        <v>173455</v>
      </c>
      <c r="G295" s="339"/>
      <c r="H295" s="11"/>
      <c r="I295" s="337">
        <v>173589</v>
      </c>
      <c r="J295" s="338"/>
      <c r="K295" s="13" t="s">
        <v>24</v>
      </c>
      <c r="L295" s="11"/>
      <c r="M295" s="11"/>
      <c r="N295" s="35">
        <f>(34+18+24+49)/5280</f>
        <v>2.3674242424242424E-2</v>
      </c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2:35" ht="12.75" customHeight="1" x14ac:dyDescent="0.2">
      <c r="B296" s="22"/>
      <c r="D296" s="11" t="s">
        <v>639</v>
      </c>
      <c r="E296" s="11">
        <v>30</v>
      </c>
      <c r="F296" s="337">
        <v>173455</v>
      </c>
      <c r="G296" s="339"/>
      <c r="H296" s="11"/>
      <c r="I296" s="337">
        <v>173589</v>
      </c>
      <c r="J296" s="338"/>
      <c r="K296" s="13" t="s">
        <v>24</v>
      </c>
      <c r="L296" s="53">
        <f>ROUNDUP((I296-F296)/40,0)</f>
        <v>4</v>
      </c>
      <c r="M296" s="11"/>
      <c r="N296" s="35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2:35" ht="12.75" customHeight="1" x14ac:dyDescent="0.2">
      <c r="B297" s="22"/>
      <c r="D297" s="11" t="s">
        <v>309</v>
      </c>
      <c r="E297" s="11">
        <v>30</v>
      </c>
      <c r="F297" s="337">
        <v>173566</v>
      </c>
      <c r="G297" s="339"/>
      <c r="H297" s="11"/>
      <c r="I297" s="337">
        <v>173578</v>
      </c>
      <c r="J297" s="338"/>
      <c r="K297" s="13" t="s">
        <v>62</v>
      </c>
      <c r="L297" s="11"/>
      <c r="M297" s="11"/>
      <c r="N297" s="35">
        <f>(16+16.5+19.5+19)/5280</f>
        <v>1.3446969696969697E-2</v>
      </c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2:35" ht="12.75" customHeight="1" x14ac:dyDescent="0.2">
      <c r="B298" s="22"/>
      <c r="D298" s="11" t="s">
        <v>640</v>
      </c>
      <c r="E298" s="11">
        <v>30</v>
      </c>
      <c r="F298" s="337">
        <v>173566</v>
      </c>
      <c r="G298" s="339"/>
      <c r="H298" s="11"/>
      <c r="I298" s="337">
        <v>173578</v>
      </c>
      <c r="J298" s="338"/>
      <c r="K298" s="13" t="s">
        <v>62</v>
      </c>
      <c r="L298" s="11">
        <v>2</v>
      </c>
      <c r="M298" s="11"/>
      <c r="N298" s="35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2:35" ht="12.75" customHeight="1" x14ac:dyDescent="0.2">
      <c r="B299" s="22"/>
      <c r="D299" s="11" t="s">
        <v>310</v>
      </c>
      <c r="E299" s="11">
        <v>30</v>
      </c>
      <c r="F299" s="337">
        <v>173601</v>
      </c>
      <c r="G299" s="339"/>
      <c r="H299" s="11"/>
      <c r="I299" s="337">
        <v>173650</v>
      </c>
      <c r="J299" s="338"/>
      <c r="K299" s="13" t="s">
        <v>24</v>
      </c>
      <c r="L299" s="11"/>
      <c r="M299" s="11"/>
      <c r="N299" s="35">
        <f>(16+16.5+19.5+19)/5280</f>
        <v>1.3446969696969697E-2</v>
      </c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2:35" ht="12.75" customHeight="1" x14ac:dyDescent="0.2">
      <c r="B300" s="22"/>
      <c r="D300" s="11" t="s">
        <v>645</v>
      </c>
      <c r="E300" s="11">
        <v>30</v>
      </c>
      <c r="F300" s="337">
        <v>173601</v>
      </c>
      <c r="G300" s="339"/>
      <c r="H300" s="11"/>
      <c r="I300" s="337">
        <v>173650</v>
      </c>
      <c r="J300" s="338"/>
      <c r="K300" s="13" t="s">
        <v>24</v>
      </c>
      <c r="L300" s="11">
        <v>2</v>
      </c>
      <c r="M300" s="11"/>
      <c r="N300" s="35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2:35" ht="12.75" customHeight="1" x14ac:dyDescent="0.2">
      <c r="B301" s="22"/>
      <c r="D301" s="11" t="s">
        <v>315</v>
      </c>
      <c r="E301" s="11">
        <v>30</v>
      </c>
      <c r="F301" s="337">
        <v>160100</v>
      </c>
      <c r="G301" s="339"/>
      <c r="H301" s="11"/>
      <c r="I301" s="337">
        <v>160201</v>
      </c>
      <c r="J301" s="338"/>
      <c r="K301" s="13" t="s">
        <v>24</v>
      </c>
      <c r="L301" s="11"/>
      <c r="M301" s="11"/>
      <c r="N301" s="35"/>
      <c r="O301" s="35">
        <f>(16+16.5+19.5+19)/5280</f>
        <v>1.3446969696969697E-2</v>
      </c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2:35" ht="12.75" customHeight="1" x14ac:dyDescent="0.2">
      <c r="B302" s="22"/>
      <c r="D302" s="11" t="s">
        <v>641</v>
      </c>
      <c r="E302" s="11">
        <v>30</v>
      </c>
      <c r="F302" s="337">
        <v>160100</v>
      </c>
      <c r="G302" s="339"/>
      <c r="H302" s="11"/>
      <c r="I302" s="337">
        <v>160201</v>
      </c>
      <c r="J302" s="338"/>
      <c r="K302" s="13" t="s">
        <v>24</v>
      </c>
      <c r="L302" s="53">
        <f>ROUNDUP((I302-F302)/40,0)</f>
        <v>3</v>
      </c>
      <c r="M302" s="11"/>
      <c r="N302" s="35"/>
      <c r="O302" s="35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2:35" ht="12.6" customHeight="1" x14ac:dyDescent="0.2">
      <c r="B303" s="22"/>
      <c r="D303" s="11" t="s">
        <v>316</v>
      </c>
      <c r="E303" s="11">
        <v>30</v>
      </c>
      <c r="F303" s="337">
        <v>160100</v>
      </c>
      <c r="G303" s="339"/>
      <c r="H303" s="11"/>
      <c r="I303" s="337">
        <v>160193</v>
      </c>
      <c r="J303" s="338"/>
      <c r="K303" s="13" t="s">
        <v>24</v>
      </c>
      <c r="L303" s="11"/>
      <c r="M303" s="11"/>
      <c r="N303" s="35"/>
      <c r="O303" s="35">
        <f>(16+16.5+19.5+19)/5280</f>
        <v>1.3446969696969697E-2</v>
      </c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2:35" ht="12.6" customHeight="1" x14ac:dyDescent="0.2">
      <c r="B304" s="22"/>
      <c r="D304" s="11" t="s">
        <v>642</v>
      </c>
      <c r="E304" s="11">
        <v>30</v>
      </c>
      <c r="F304" s="337">
        <v>160100</v>
      </c>
      <c r="G304" s="339"/>
      <c r="H304" s="11"/>
      <c r="I304" s="337">
        <v>160193</v>
      </c>
      <c r="J304" s="338"/>
      <c r="K304" s="13" t="s">
        <v>24</v>
      </c>
      <c r="L304" s="53">
        <f>ROUNDUP((I304-F304)/40,0)</f>
        <v>3</v>
      </c>
      <c r="M304" s="11"/>
      <c r="N304" s="35"/>
      <c r="O304" s="35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2:35" ht="12.75" customHeight="1" x14ac:dyDescent="0.2">
      <c r="B305" s="22"/>
      <c r="D305" s="11" t="s">
        <v>311</v>
      </c>
      <c r="E305" s="11">
        <v>30</v>
      </c>
      <c r="F305" s="337">
        <v>173609</v>
      </c>
      <c r="G305" s="339"/>
      <c r="H305" s="11"/>
      <c r="I305" s="337">
        <v>173638</v>
      </c>
      <c r="J305" s="338"/>
      <c r="K305" s="13" t="s">
        <v>25</v>
      </c>
      <c r="L305" s="11"/>
      <c r="M305" s="11"/>
      <c r="N305" s="35">
        <f>(16+16.5+19.5+19)/5280</f>
        <v>1.3446969696969697E-2</v>
      </c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2:35" ht="12.75" customHeight="1" x14ac:dyDescent="0.2">
      <c r="B306" s="22"/>
      <c r="D306" s="11" t="s">
        <v>646</v>
      </c>
      <c r="E306" s="11">
        <v>30</v>
      </c>
      <c r="F306" s="337">
        <v>173609</v>
      </c>
      <c r="G306" s="339"/>
      <c r="H306" s="11"/>
      <c r="I306" s="337">
        <v>173638</v>
      </c>
      <c r="J306" s="338"/>
      <c r="K306" s="13" t="s">
        <v>25</v>
      </c>
      <c r="L306" s="11">
        <v>2</v>
      </c>
      <c r="M306" s="11"/>
      <c r="N306" s="35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2:35" ht="12.75" customHeight="1" x14ac:dyDescent="0.2">
      <c r="B307" s="22"/>
      <c r="D307" s="11" t="s">
        <v>317</v>
      </c>
      <c r="E307" s="11">
        <v>30</v>
      </c>
      <c r="F307" s="337">
        <v>173609</v>
      </c>
      <c r="G307" s="339"/>
      <c r="H307" s="11"/>
      <c r="I307" s="337">
        <v>173624</v>
      </c>
      <c r="J307" s="338"/>
      <c r="K307" s="13" t="s">
        <v>25</v>
      </c>
      <c r="L307" s="11"/>
      <c r="M307" s="11"/>
      <c r="N307" s="35"/>
      <c r="O307" s="35">
        <f>(19+15)/5280</f>
        <v>6.4393939393939392E-3</v>
      </c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2:35" ht="12.75" customHeight="1" x14ac:dyDescent="0.2">
      <c r="B308" s="22"/>
      <c r="D308" s="11" t="s">
        <v>647</v>
      </c>
      <c r="E308" s="11">
        <v>30</v>
      </c>
      <c r="F308" s="337">
        <v>173609</v>
      </c>
      <c r="G308" s="339"/>
      <c r="H308" s="11"/>
      <c r="I308" s="337">
        <v>173624</v>
      </c>
      <c r="J308" s="338"/>
      <c r="K308" s="13" t="s">
        <v>25</v>
      </c>
      <c r="L308" s="53">
        <f>ROUNDUP((I308-F308)/40,0)</f>
        <v>1</v>
      </c>
      <c r="M308" s="11"/>
      <c r="N308" s="35"/>
      <c r="O308" s="35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2:35" ht="12.6" customHeight="1" x14ac:dyDescent="0.2">
      <c r="B309" s="22"/>
      <c r="D309" s="11" t="s">
        <v>318</v>
      </c>
      <c r="E309" s="11">
        <v>30</v>
      </c>
      <c r="F309" s="337">
        <v>173624</v>
      </c>
      <c r="G309" s="339"/>
      <c r="H309" s="11"/>
      <c r="I309" s="337">
        <v>173638</v>
      </c>
      <c r="J309" s="338"/>
      <c r="K309" s="13" t="s">
        <v>25</v>
      </c>
      <c r="L309" s="11"/>
      <c r="M309" s="11"/>
      <c r="N309" s="35"/>
      <c r="O309" s="35">
        <f>(19+15)/5280</f>
        <v>6.4393939393939392E-3</v>
      </c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2:35" ht="12.6" customHeight="1" x14ac:dyDescent="0.2">
      <c r="B310" s="22"/>
      <c r="D310" s="11" t="s">
        <v>648</v>
      </c>
      <c r="E310" s="11">
        <v>30</v>
      </c>
      <c r="F310" s="337">
        <v>173624</v>
      </c>
      <c r="G310" s="339"/>
      <c r="H310" s="11"/>
      <c r="I310" s="337">
        <v>173638</v>
      </c>
      <c r="J310" s="338"/>
      <c r="K310" s="13" t="s">
        <v>25</v>
      </c>
      <c r="L310" s="53">
        <f>ROUNDUP((I310-F310)/40,0)</f>
        <v>1</v>
      </c>
      <c r="M310" s="11"/>
      <c r="N310" s="35"/>
      <c r="O310" s="35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2:35" ht="12.75" customHeight="1" x14ac:dyDescent="0.2">
      <c r="B311" s="22"/>
      <c r="D311" s="11" t="s">
        <v>312</v>
      </c>
      <c r="E311" s="11">
        <v>30</v>
      </c>
      <c r="F311" s="337">
        <v>173696</v>
      </c>
      <c r="G311" s="339"/>
      <c r="H311" s="11"/>
      <c r="I311" s="337">
        <v>173704</v>
      </c>
      <c r="J311" s="338"/>
      <c r="K311" s="13" t="s">
        <v>62</v>
      </c>
      <c r="L311" s="11"/>
      <c r="M311" s="11"/>
      <c r="N311" s="35">
        <f>(26.5+13.5)/5280</f>
        <v>7.575757575757576E-3</v>
      </c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2:35" ht="12.75" customHeight="1" x14ac:dyDescent="0.2">
      <c r="B312" s="22"/>
      <c r="D312" s="11" t="s">
        <v>649</v>
      </c>
      <c r="E312" s="11">
        <v>30</v>
      </c>
      <c r="F312" s="337">
        <v>173696</v>
      </c>
      <c r="G312" s="339"/>
      <c r="H312" s="11"/>
      <c r="I312" s="337">
        <v>173704</v>
      </c>
      <c r="J312" s="338"/>
      <c r="K312" s="13" t="s">
        <v>62</v>
      </c>
      <c r="L312" s="11">
        <v>2</v>
      </c>
      <c r="M312" s="11"/>
      <c r="N312" s="35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2:35" ht="12.75" customHeight="1" x14ac:dyDescent="0.2">
      <c r="B313" s="22"/>
      <c r="D313" s="11" t="s">
        <v>319</v>
      </c>
      <c r="E313" s="11">
        <v>30</v>
      </c>
      <c r="F313" s="337">
        <v>173696</v>
      </c>
      <c r="G313" s="339"/>
      <c r="H313" s="11"/>
      <c r="I313" s="337">
        <v>173800</v>
      </c>
      <c r="J313" s="338"/>
      <c r="K313" s="13" t="s">
        <v>24</v>
      </c>
      <c r="L313" s="11"/>
      <c r="M313" s="11"/>
      <c r="N313" s="35"/>
      <c r="O313" s="35">
        <f>(I313-F313)/5280</f>
        <v>1.9696969696969695E-2</v>
      </c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2:35" ht="12.75" customHeight="1" x14ac:dyDescent="0.2">
      <c r="B314" s="22"/>
      <c r="D314" s="11" t="s">
        <v>650</v>
      </c>
      <c r="E314" s="11">
        <v>30</v>
      </c>
      <c r="F314" s="337">
        <v>173696</v>
      </c>
      <c r="G314" s="339"/>
      <c r="H314" s="11"/>
      <c r="I314" s="337">
        <v>173800</v>
      </c>
      <c r="J314" s="338"/>
      <c r="K314" s="13" t="s">
        <v>24</v>
      </c>
      <c r="L314" s="53">
        <f>ROUNDUP((I314-F314)/40,0)</f>
        <v>3</v>
      </c>
      <c r="M314" s="11"/>
      <c r="N314" s="35"/>
      <c r="O314" s="35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2:35" ht="12.6" customHeight="1" x14ac:dyDescent="0.2">
      <c r="B315" s="22"/>
      <c r="D315" s="11" t="s">
        <v>320</v>
      </c>
      <c r="E315" s="11">
        <v>30</v>
      </c>
      <c r="F315" s="337">
        <v>173704</v>
      </c>
      <c r="G315" s="339"/>
      <c r="H315" s="11"/>
      <c r="I315" s="337">
        <v>173800</v>
      </c>
      <c r="J315" s="338"/>
      <c r="K315" s="13" t="s">
        <v>25</v>
      </c>
      <c r="L315" s="11"/>
      <c r="M315" s="11"/>
      <c r="N315" s="11"/>
      <c r="O315" s="35">
        <f>(I315-F315)/5280</f>
        <v>1.8181818181818181E-2</v>
      </c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2:35" ht="12.6" customHeight="1" x14ac:dyDescent="0.2">
      <c r="B316" s="22"/>
      <c r="D316" s="11" t="s">
        <v>651</v>
      </c>
      <c r="E316" s="11">
        <v>30</v>
      </c>
      <c r="F316" s="337">
        <v>173704</v>
      </c>
      <c r="G316" s="339"/>
      <c r="H316" s="11"/>
      <c r="I316" s="337">
        <v>173800</v>
      </c>
      <c r="J316" s="338"/>
      <c r="K316" s="13" t="s">
        <v>25</v>
      </c>
      <c r="L316" s="53">
        <f>ROUNDUP((I316-F316)/40,0)</f>
        <v>3</v>
      </c>
      <c r="M316" s="11"/>
      <c r="N316" s="11"/>
      <c r="O316" s="35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2:35" ht="12.75" customHeight="1" x14ac:dyDescent="0.2">
      <c r="B317" s="22"/>
      <c r="D317" s="11" t="s">
        <v>321</v>
      </c>
      <c r="E317" s="11">
        <v>30</v>
      </c>
      <c r="F317" s="337">
        <v>173300</v>
      </c>
      <c r="G317" s="339"/>
      <c r="H317" s="11"/>
      <c r="I317" s="337">
        <v>173365</v>
      </c>
      <c r="J317" s="338"/>
      <c r="K317" s="13" t="s">
        <v>24</v>
      </c>
      <c r="L317" s="11"/>
      <c r="M317" s="11"/>
      <c r="N317" s="11"/>
      <c r="O317" s="11"/>
      <c r="P317" s="35">
        <f>(I317-F317)/5280</f>
        <v>1.231060606060606E-2</v>
      </c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2:35" ht="12.75" customHeight="1" x14ac:dyDescent="0.2">
      <c r="B318" s="22"/>
      <c r="D318" s="11" t="s">
        <v>632</v>
      </c>
      <c r="E318" s="11">
        <v>30</v>
      </c>
      <c r="F318" s="337">
        <v>173300</v>
      </c>
      <c r="G318" s="339"/>
      <c r="H318" s="11"/>
      <c r="I318" s="337">
        <v>173365</v>
      </c>
      <c r="J318" s="338"/>
      <c r="K318" s="13" t="s">
        <v>24</v>
      </c>
      <c r="L318" s="53">
        <f>ROUNDUP((I318-F318)/20,0)</f>
        <v>4</v>
      </c>
      <c r="M318" s="44"/>
      <c r="N318" s="44"/>
      <c r="O318" s="44"/>
      <c r="P318" s="46"/>
      <c r="Q318" s="44"/>
      <c r="R318" s="44"/>
      <c r="S318" s="44"/>
      <c r="T318" s="44"/>
      <c r="U318" s="44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2:35" ht="12.6" customHeight="1" x14ac:dyDescent="0.2">
      <c r="B319" s="22"/>
      <c r="D319" s="11" t="s">
        <v>322</v>
      </c>
      <c r="E319" s="44">
        <v>30</v>
      </c>
      <c r="F319" s="391">
        <v>173300</v>
      </c>
      <c r="G319" s="391"/>
      <c r="H319" s="44"/>
      <c r="I319" s="392">
        <v>173365</v>
      </c>
      <c r="J319" s="393"/>
      <c r="K319" s="45" t="s">
        <v>25</v>
      </c>
      <c r="L319" s="44"/>
      <c r="M319" s="44"/>
      <c r="N319" s="44"/>
      <c r="O319" s="44"/>
      <c r="P319" s="46">
        <f>(I319-F319)/5280</f>
        <v>1.231060606060606E-2</v>
      </c>
      <c r="Q319" s="44"/>
      <c r="R319" s="44"/>
      <c r="S319" s="44"/>
      <c r="T319" s="44"/>
      <c r="U319" s="44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2:35" ht="12.6" customHeight="1" x14ac:dyDescent="0.2">
      <c r="B320" s="22"/>
      <c r="D320" s="11" t="s">
        <v>633</v>
      </c>
      <c r="E320" s="44">
        <v>30</v>
      </c>
      <c r="F320" s="391">
        <v>173300</v>
      </c>
      <c r="G320" s="391"/>
      <c r="H320" s="44"/>
      <c r="I320" s="392">
        <v>173365</v>
      </c>
      <c r="J320" s="393"/>
      <c r="K320" s="45" t="s">
        <v>25</v>
      </c>
      <c r="L320" s="53">
        <f>ROUNDUP((I320-F320)/20,0)</f>
        <v>4</v>
      </c>
      <c r="M320" s="44"/>
      <c r="N320" s="44"/>
      <c r="O320" s="44"/>
      <c r="P320" s="46"/>
      <c r="Q320" s="44"/>
      <c r="R320" s="44"/>
      <c r="S320" s="44"/>
      <c r="T320" s="44"/>
      <c r="U320" s="44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2:35" ht="12.75" customHeight="1" x14ac:dyDescent="0.2">
      <c r="B321" s="22"/>
      <c r="D321" s="11" t="s">
        <v>323</v>
      </c>
      <c r="E321" s="11">
        <v>30</v>
      </c>
      <c r="F321" s="343">
        <v>160100</v>
      </c>
      <c r="G321" s="343"/>
      <c r="H321" s="11"/>
      <c r="I321" s="343">
        <v>160113</v>
      </c>
      <c r="J321" s="343"/>
      <c r="K321" s="11" t="s">
        <v>24</v>
      </c>
      <c r="L321" s="11"/>
      <c r="M321" s="11"/>
      <c r="N321" s="11"/>
      <c r="O321" s="11"/>
      <c r="P321" s="35">
        <f>(I321-F321)/5280</f>
        <v>2.4621212121212119E-3</v>
      </c>
      <c r="Q321" s="32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2:35" ht="12.75" customHeight="1" x14ac:dyDescent="0.2">
      <c r="B322" s="22"/>
      <c r="D322" s="11" t="s">
        <v>643</v>
      </c>
      <c r="E322" s="11">
        <v>30</v>
      </c>
      <c r="F322" s="343">
        <v>160100</v>
      </c>
      <c r="G322" s="343"/>
      <c r="H322" s="11"/>
      <c r="I322" s="343">
        <v>160113</v>
      </c>
      <c r="J322" s="343"/>
      <c r="K322" s="11" t="s">
        <v>24</v>
      </c>
      <c r="L322" s="53">
        <f>ROUNDUP((I322-F322)/20,0)</f>
        <v>1</v>
      </c>
      <c r="M322" s="11"/>
      <c r="N322" s="11"/>
      <c r="O322" s="11"/>
      <c r="P322" s="35"/>
      <c r="Q322" s="32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2:35" ht="12.75" customHeight="1" x14ac:dyDescent="0.2">
      <c r="B323" s="22"/>
      <c r="D323" s="11" t="s">
        <v>324</v>
      </c>
      <c r="E323" s="11">
        <v>30</v>
      </c>
      <c r="F323" s="343">
        <v>160100</v>
      </c>
      <c r="G323" s="343"/>
      <c r="H323" s="11"/>
      <c r="I323" s="343">
        <v>160113</v>
      </c>
      <c r="J323" s="343"/>
      <c r="K323" s="11" t="s">
        <v>24</v>
      </c>
      <c r="L323" s="11"/>
      <c r="M323" s="11"/>
      <c r="N323" s="11"/>
      <c r="O323" s="11"/>
      <c r="P323" s="35">
        <f>(I323-F323)/5280</f>
        <v>2.4621212121212119E-3</v>
      </c>
      <c r="Q323" s="32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2:35" ht="12.75" customHeight="1" x14ac:dyDescent="0.2">
      <c r="B324" s="22"/>
      <c r="D324" s="11" t="s">
        <v>644</v>
      </c>
      <c r="E324" s="11">
        <v>30</v>
      </c>
      <c r="F324" s="343">
        <v>160100</v>
      </c>
      <c r="G324" s="343"/>
      <c r="H324" s="11"/>
      <c r="I324" s="343">
        <v>160113</v>
      </c>
      <c r="J324" s="343"/>
      <c r="K324" s="11" t="s">
        <v>24</v>
      </c>
      <c r="L324" s="53">
        <f>ROUNDUP((I324-F324)/20,0)</f>
        <v>1</v>
      </c>
      <c r="M324" s="11"/>
      <c r="N324" s="11"/>
      <c r="O324" s="11"/>
      <c r="P324" s="35"/>
      <c r="Q324" s="32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2:35" ht="12.75" customHeight="1" x14ac:dyDescent="0.2">
      <c r="B325" s="22"/>
      <c r="D325" s="11" t="s">
        <v>325</v>
      </c>
      <c r="E325" s="11">
        <v>30</v>
      </c>
      <c r="F325" s="343">
        <v>173406</v>
      </c>
      <c r="G325" s="343"/>
      <c r="H325" s="11"/>
      <c r="I325" s="343">
        <v>173455</v>
      </c>
      <c r="J325" s="343"/>
      <c r="K325" s="11" t="s">
        <v>24</v>
      </c>
      <c r="L325" s="11"/>
      <c r="M325" s="11"/>
      <c r="N325" s="11"/>
      <c r="O325" s="11"/>
      <c r="P325" s="11"/>
      <c r="Q325" s="32">
        <f>I325-F325</f>
        <v>49</v>
      </c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2:35" ht="12.75" customHeight="1" x14ac:dyDescent="0.2">
      <c r="B326" s="22"/>
      <c r="D326" s="11" t="s">
        <v>636</v>
      </c>
      <c r="E326" s="11">
        <v>30</v>
      </c>
      <c r="F326" s="343">
        <v>173406</v>
      </c>
      <c r="G326" s="343"/>
      <c r="H326" s="11"/>
      <c r="I326" s="343">
        <v>173455</v>
      </c>
      <c r="J326" s="343"/>
      <c r="K326" s="11" t="s">
        <v>24</v>
      </c>
      <c r="L326" s="53">
        <f>ROUNDUP((I326-F326)/40,0)</f>
        <v>2</v>
      </c>
      <c r="M326" s="40"/>
      <c r="N326" s="40"/>
      <c r="O326" s="40"/>
      <c r="P326" s="40"/>
      <c r="Q326" s="42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2:35" ht="12.75" customHeight="1" x14ac:dyDescent="0.2">
      <c r="B327" s="22"/>
      <c r="D327" s="11" t="s">
        <v>326</v>
      </c>
      <c r="E327" s="40">
        <v>30</v>
      </c>
      <c r="F327" s="346">
        <v>173406</v>
      </c>
      <c r="G327" s="347"/>
      <c r="H327" s="40"/>
      <c r="I327" s="346">
        <v>173455</v>
      </c>
      <c r="J327" s="348"/>
      <c r="K327" s="41" t="s">
        <v>24</v>
      </c>
      <c r="L327" s="40"/>
      <c r="M327" s="40"/>
      <c r="N327" s="40"/>
      <c r="O327" s="40"/>
      <c r="P327" s="40"/>
      <c r="Q327" s="42">
        <f>I327-F327</f>
        <v>49</v>
      </c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2:35" ht="12.75" customHeight="1" x14ac:dyDescent="0.2">
      <c r="B328" s="62"/>
      <c r="D328" s="11" t="s">
        <v>637</v>
      </c>
      <c r="E328" s="40">
        <v>30</v>
      </c>
      <c r="F328" s="346">
        <v>173406</v>
      </c>
      <c r="G328" s="347"/>
      <c r="H328" s="40"/>
      <c r="I328" s="346">
        <v>173455</v>
      </c>
      <c r="J328" s="348"/>
      <c r="K328" s="41" t="s">
        <v>24</v>
      </c>
      <c r="L328" s="53">
        <f>ROUNDUP((I328-F328)/40,0)</f>
        <v>2</v>
      </c>
      <c r="M328" s="40"/>
      <c r="N328" s="40"/>
      <c r="O328" s="40"/>
      <c r="P328" s="40"/>
      <c r="Q328" s="42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2:35" ht="12.75" customHeight="1" x14ac:dyDescent="0.2">
      <c r="B329" s="62"/>
      <c r="D329" s="11" t="s">
        <v>327</v>
      </c>
      <c r="E329" s="11">
        <v>30</v>
      </c>
      <c r="F329" s="337">
        <v>173701</v>
      </c>
      <c r="G329" s="339"/>
      <c r="H329" s="11"/>
      <c r="I329" s="337">
        <v>173800</v>
      </c>
      <c r="J329" s="338"/>
      <c r="K329" s="13" t="s">
        <v>25</v>
      </c>
      <c r="L329" s="11"/>
      <c r="M329" s="11"/>
      <c r="N329" s="11"/>
      <c r="O329" s="11"/>
      <c r="P329" s="11"/>
      <c r="Q329" s="32">
        <f>I329-F329</f>
        <v>99</v>
      </c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2:35" ht="12.75" customHeight="1" thickBot="1" x14ac:dyDescent="0.25">
      <c r="B330" s="23"/>
      <c r="D330" s="11" t="s">
        <v>652</v>
      </c>
      <c r="E330" s="11">
        <v>30</v>
      </c>
      <c r="F330" s="337">
        <v>173701</v>
      </c>
      <c r="G330" s="339"/>
      <c r="H330" s="11"/>
      <c r="I330" s="337">
        <v>173800</v>
      </c>
      <c r="J330" s="338"/>
      <c r="K330" s="13" t="s">
        <v>25</v>
      </c>
      <c r="L330" s="53">
        <f>ROUNDUP((I330-F330)/40,0)</f>
        <v>3</v>
      </c>
      <c r="M330" s="11"/>
      <c r="N330" s="11"/>
      <c r="O330" s="11"/>
      <c r="P330" s="11"/>
      <c r="Q330" s="32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2:35" ht="12.75" customHeight="1" x14ac:dyDescent="0.2">
      <c r="B331" s="5" t="s">
        <v>11</v>
      </c>
      <c r="D331" s="351" t="s">
        <v>2</v>
      </c>
      <c r="E331" s="352"/>
      <c r="F331" s="352"/>
      <c r="G331" s="352"/>
      <c r="H331" s="352"/>
      <c r="I331" s="352"/>
      <c r="J331" s="353"/>
      <c r="K331" s="14" t="str">
        <f t="shared" ref="K331:AI331" si="13">IF(K225="","",IF(OR(K240="", K240="LS", K240="LUMP"),IF(SUM(COUNTIF(K241:K330,"LS")+COUNTIF(K241:K330,"LUMP"))&gt;0,"LS",""),IF(SUM(K241:K330)&gt;0,ROUNDUP(SUM(K241:K330),0),"")))</f>
        <v/>
      </c>
      <c r="L331" s="14" t="str">
        <f t="shared" si="13"/>
        <v/>
      </c>
      <c r="M331" s="14" t="str">
        <f t="shared" si="13"/>
        <v/>
      </c>
      <c r="N331" s="14">
        <f t="shared" si="13"/>
        <v>2</v>
      </c>
      <c r="O331" s="14">
        <f t="shared" si="13"/>
        <v>1</v>
      </c>
      <c r="P331" s="14">
        <f t="shared" si="13"/>
        <v>1</v>
      </c>
      <c r="Q331" s="14">
        <f t="shared" si="13"/>
        <v>542</v>
      </c>
      <c r="R331" s="14" t="str">
        <f t="shared" si="13"/>
        <v/>
      </c>
      <c r="S331" s="14">
        <f t="shared" si="13"/>
        <v>186</v>
      </c>
      <c r="T331" s="14" t="str">
        <f t="shared" si="13"/>
        <v/>
      </c>
      <c r="U331" s="14" t="str">
        <f t="shared" si="13"/>
        <v/>
      </c>
      <c r="V331" s="14">
        <f t="shared" si="13"/>
        <v>2</v>
      </c>
      <c r="W331" s="14" t="str">
        <f t="shared" si="13"/>
        <v/>
      </c>
      <c r="X331" s="14" t="str">
        <f t="shared" si="13"/>
        <v/>
      </c>
      <c r="Y331" s="14" t="str">
        <f t="shared" si="13"/>
        <v/>
      </c>
      <c r="Z331" s="14" t="str">
        <f t="shared" si="13"/>
        <v/>
      </c>
      <c r="AA331" s="14" t="str">
        <f t="shared" si="13"/>
        <v/>
      </c>
      <c r="AB331" s="14" t="str">
        <f t="shared" si="13"/>
        <v/>
      </c>
      <c r="AC331" s="14" t="str">
        <f t="shared" si="13"/>
        <v/>
      </c>
      <c r="AD331" s="14" t="str">
        <f t="shared" si="13"/>
        <v/>
      </c>
      <c r="AE331" s="14" t="str">
        <f t="shared" si="13"/>
        <v/>
      </c>
      <c r="AF331" s="14" t="str">
        <f t="shared" si="13"/>
        <v/>
      </c>
      <c r="AG331" s="14" t="str">
        <f t="shared" si="13"/>
        <v/>
      </c>
      <c r="AH331" s="14" t="str">
        <f t="shared" si="13"/>
        <v/>
      </c>
      <c r="AI331" s="14" t="str">
        <f t="shared" si="13"/>
        <v/>
      </c>
    </row>
    <row r="332" spans="2:35" ht="12.75" customHeight="1" thickBot="1" x14ac:dyDescent="0.25"/>
    <row r="333" spans="2:35" ht="12.75" customHeight="1" thickBot="1" x14ac:dyDescent="0.25">
      <c r="B333" s="20" t="s">
        <v>9</v>
      </c>
      <c r="D333" s="295" t="str">
        <f>"SUBSUMMARY SHEET " &amp; B334</f>
        <v xml:space="preserve">SUBSUMMARY SHEET </v>
      </c>
      <c r="E333" s="295"/>
      <c r="F333" s="295"/>
      <c r="G333" s="295"/>
      <c r="H333" s="295"/>
      <c r="I333" s="295"/>
      <c r="J333" s="295"/>
      <c r="K333" s="295"/>
      <c r="L333" s="295"/>
      <c r="M333" s="295"/>
      <c r="N333" s="295"/>
      <c r="O333" s="295"/>
      <c r="P333" s="295"/>
      <c r="Q333" s="295"/>
      <c r="R333" s="295"/>
      <c r="S333" s="295"/>
      <c r="T333" s="295"/>
      <c r="U333" s="295"/>
      <c r="V333" s="295"/>
      <c r="W333" s="295"/>
      <c r="X333" s="295"/>
      <c r="Y333" s="295"/>
      <c r="Z333" s="295"/>
      <c r="AA333" s="295"/>
      <c r="AB333" s="295"/>
      <c r="AC333" s="295"/>
      <c r="AD333" s="295"/>
      <c r="AE333" s="295"/>
      <c r="AF333" s="295"/>
      <c r="AG333" s="295"/>
      <c r="AH333" s="295"/>
      <c r="AI333" s="295"/>
    </row>
    <row r="334" spans="2:35" ht="12.75" customHeight="1" thickBot="1" x14ac:dyDescent="0.25">
      <c r="B334" s="24"/>
      <c r="D334" s="309" t="s">
        <v>7</v>
      </c>
      <c r="E334" s="309"/>
      <c r="F334" s="309"/>
      <c r="G334" s="309"/>
      <c r="H334" s="309"/>
      <c r="I334" s="309"/>
      <c r="J334" s="309"/>
      <c r="K334" s="19"/>
      <c r="L334" s="19"/>
      <c r="M334" s="19"/>
      <c r="N334" s="19" t="s">
        <v>36</v>
      </c>
      <c r="O334" s="19" t="s">
        <v>36</v>
      </c>
      <c r="P334" s="19" t="s">
        <v>39</v>
      </c>
      <c r="Q334" s="19" t="s">
        <v>40</v>
      </c>
      <c r="R334" s="19" t="s">
        <v>42</v>
      </c>
      <c r="S334" s="19" t="s">
        <v>44</v>
      </c>
      <c r="T334" s="19" t="s">
        <v>47</v>
      </c>
      <c r="U334" s="19" t="s">
        <v>49</v>
      </c>
      <c r="V334" s="19" t="s">
        <v>52</v>
      </c>
      <c r="W334" s="19" t="s">
        <v>53</v>
      </c>
      <c r="X334" s="19" t="s">
        <v>55</v>
      </c>
      <c r="Y334" s="19" t="s">
        <v>57</v>
      </c>
      <c r="Z334" s="19" t="s">
        <v>63</v>
      </c>
      <c r="AA334" s="19" t="s">
        <v>65</v>
      </c>
      <c r="AB334" s="19" t="s">
        <v>70</v>
      </c>
      <c r="AC334" s="19" t="s">
        <v>71</v>
      </c>
      <c r="AD334" s="19" t="s">
        <v>72</v>
      </c>
      <c r="AE334" s="19" t="s">
        <v>73</v>
      </c>
      <c r="AF334" s="19" t="s">
        <v>28</v>
      </c>
      <c r="AG334" s="19" t="s">
        <v>29</v>
      </c>
      <c r="AH334" s="19" t="s">
        <v>30</v>
      </c>
      <c r="AI334" s="19" t="s">
        <v>31</v>
      </c>
    </row>
    <row r="335" spans="2:35" ht="12.75" customHeight="1" thickBot="1" x14ac:dyDescent="0.25">
      <c r="D335" s="310" t="s">
        <v>8</v>
      </c>
      <c r="E335" s="310"/>
      <c r="F335" s="310"/>
      <c r="G335" s="310"/>
      <c r="H335" s="310"/>
      <c r="I335" s="310"/>
      <c r="J335" s="310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</row>
    <row r="336" spans="2:35" ht="12.75" customHeight="1" x14ac:dyDescent="0.2">
      <c r="B336" s="250" t="s">
        <v>10</v>
      </c>
      <c r="D336" s="360" t="s">
        <v>20</v>
      </c>
      <c r="E336" s="360" t="s">
        <v>21</v>
      </c>
      <c r="F336" s="363" t="s">
        <v>0</v>
      </c>
      <c r="G336" s="364"/>
      <c r="H336" s="364"/>
      <c r="I336" s="364"/>
      <c r="J336" s="365"/>
      <c r="K336" s="372" t="s">
        <v>23</v>
      </c>
      <c r="L336" s="7" t="str">
        <f>IF(OR(TRIM(L334)=0,TRIM(L334)=""),"",IF(IFERROR(TRIM(INDEX(QryItemNamed,MATCH(TRIM(L334),ITEM,0),2)),"")="Y","SPECIAL",LEFT(IFERROR(TRIM(INDEX(ITEM,MATCH(TRIM(L334),ITEM,0))),""),3)))</f>
        <v/>
      </c>
      <c r="M336" s="7" t="str">
        <f>IF(OR(TRIM(M334)=0,TRIM(M334)=""),"",IF(IFERROR(TRIM(INDEX(QryItemNamed,MATCH(TRIM(M334),ITEM,0),2)),"")="Y","SPECIAL",LEFT(IFERROR(TRIM(INDEX(ITEM,MATCH(TRIM(M334),ITEM,0))),""),3)))</f>
        <v/>
      </c>
      <c r="N336" s="7">
        <v>644</v>
      </c>
      <c r="O336" s="7">
        <v>644</v>
      </c>
      <c r="P336" s="7">
        <v>644</v>
      </c>
      <c r="Q336" s="7">
        <v>644</v>
      </c>
      <c r="R336" s="7">
        <v>644</v>
      </c>
      <c r="S336" s="7">
        <v>644</v>
      </c>
      <c r="T336" s="7">
        <v>644</v>
      </c>
      <c r="U336" s="7">
        <v>644</v>
      </c>
      <c r="V336" s="7">
        <v>644</v>
      </c>
      <c r="W336" s="7">
        <v>644</v>
      </c>
      <c r="X336" s="7">
        <v>644</v>
      </c>
      <c r="Y336" s="7">
        <v>644</v>
      </c>
      <c r="Z336" s="7">
        <v>644</v>
      </c>
      <c r="AA336" s="7">
        <v>644</v>
      </c>
      <c r="AB336" s="7">
        <v>618</v>
      </c>
      <c r="AC336" s="7" t="str">
        <f t="shared" ref="AC336:AI336" si="14">IF(OR(TRIM(AC334)=0,TRIM(AC334)=""),"",IF(IFERROR(TRIM(INDEX(QryItemNamed,MATCH(TRIM(AC334),ITEM,0),2)),"")="Y","SPECIAL",LEFT(IFERROR(TRIM(INDEX(ITEM,MATCH(TRIM(AC334),ITEM,0))),""),3)))</f>
        <v>618</v>
      </c>
      <c r="AD336" s="7" t="str">
        <f t="shared" si="14"/>
        <v>618</v>
      </c>
      <c r="AE336" s="7" t="str">
        <f t="shared" si="14"/>
        <v>618</v>
      </c>
      <c r="AF336" s="7" t="str">
        <f t="shared" si="14"/>
        <v>630</v>
      </c>
      <c r="AG336" s="7" t="str">
        <f t="shared" si="14"/>
        <v>630</v>
      </c>
      <c r="AH336" s="7" t="str">
        <f t="shared" si="14"/>
        <v>630</v>
      </c>
      <c r="AI336" s="7" t="str">
        <f t="shared" si="14"/>
        <v>630</v>
      </c>
    </row>
    <row r="337" spans="2:35" ht="12.75" customHeight="1" x14ac:dyDescent="0.2">
      <c r="B337" s="251"/>
      <c r="D337" s="361"/>
      <c r="E337" s="361"/>
      <c r="F337" s="366"/>
      <c r="G337" s="367"/>
      <c r="H337" s="367"/>
      <c r="I337" s="367"/>
      <c r="J337" s="368"/>
      <c r="K337" s="373"/>
      <c r="L337" s="375" t="str">
        <f>IF(OR(TRIM(L334)=0,TRIM(L334)=""),IF(L335="","",L335),IF(IFERROR(TRIM(INDEX(QryItemNamed,MATCH(TRIM(L334),ITEM,0),2)),"")="Y",TRIM(RIGHT(IFERROR(TRIM(INDEX(QryItemNamed,MATCH(TRIM(L334),ITEM,0),4)),"123456789012"),LEN(IFERROR(TRIM(INDEX(QryItemNamed,MATCH(TRIM(L334),ITEM,0),4)),"123456789012"))-9))&amp;L335,IFERROR(TRIM(INDEX(QryItemNamed,MATCH(TRIM(L334),ITEM,0),4))&amp;L335,"ITEM CODE DOES NOT EXIST IN ITEM MASTER")))</f>
        <v/>
      </c>
      <c r="M337" s="378" t="str">
        <f>IF(OR(TRIM(M334)=0,TRIM(M334)=""),IF(M335="","",M335),IF(IFERROR(TRIM(INDEX(QryItemNamed,MATCH(TRIM(M334),ITEM,0),2)),"")="Y",TRIM(RIGHT(IFERROR(TRIM(INDEX(QryItemNamed,MATCH(TRIM(M334),ITEM,0),4)),"123456789012"),LEN(IFERROR(TRIM(INDEX(QryItemNamed,MATCH(TRIM(M334),ITEM,0),4)),"123456789012"))-9))&amp;M335,IFERROR(TRIM(INDEX(QryItemNamed,MATCH(TRIM(M334),ITEM,0),4))&amp;M335,"ITEM CODE DOES NOT EXIST IN ITEM MASTER")))</f>
        <v/>
      </c>
      <c r="N337" s="381" t="s">
        <v>37</v>
      </c>
      <c r="O337" s="381" t="s">
        <v>38</v>
      </c>
      <c r="P337" s="381" t="s">
        <v>32</v>
      </c>
      <c r="Q337" s="381" t="s">
        <v>41</v>
      </c>
      <c r="R337" s="381" t="s">
        <v>43</v>
      </c>
      <c r="S337" s="381" t="s">
        <v>45</v>
      </c>
      <c r="T337" s="381" t="s">
        <v>48</v>
      </c>
      <c r="U337" s="381" t="s">
        <v>50</v>
      </c>
      <c r="V337" s="381" t="s">
        <v>59</v>
      </c>
      <c r="W337" s="381" t="s">
        <v>54</v>
      </c>
      <c r="X337" s="381" t="s">
        <v>56</v>
      </c>
      <c r="Y337" s="381" t="s">
        <v>58</v>
      </c>
      <c r="Z337" s="382" t="s">
        <v>64</v>
      </c>
      <c r="AA337" s="383" t="s">
        <v>66</v>
      </c>
      <c r="AB337" s="382" t="s">
        <v>74</v>
      </c>
      <c r="AC337" s="382" t="str">
        <f t="shared" ref="AC337:AI337" si="15">IF(OR(TRIM(AC334)=0,TRIM(AC334)=""),IF(AC335="","",AC335),IF(IFERROR(TRIM(INDEX(QryItemNamed,MATCH(TRIM(AC334),ITEM,0),2)),"")="Y",TRIM(RIGHT(IFERROR(TRIM(INDEX(QryItemNamed,MATCH(TRIM(AC334),ITEM,0),4)),"123456789012"),LEN(IFERROR(TRIM(INDEX(QryItemNamed,MATCH(TRIM(AC334),ITEM,0),4)),"123456789012"))-9))&amp;AC335,IFERROR(TRIM(INDEX(QryItemNamed,MATCH(TRIM(AC334),ITEM,0),4))&amp;AC335,"ITEM CODE DOES NOT EXIST IN ITEM MASTER")))</f>
        <v>RUMBLE STRIPES, EDGE LINE (CONCRETE)</v>
      </c>
      <c r="AD337" s="382" t="str">
        <f t="shared" si="15"/>
        <v>RUMBLE STRIPES, CENTER LINE (ASPHALT CONCRETE)</v>
      </c>
      <c r="AE337" s="382" t="str">
        <f t="shared" si="15"/>
        <v>RUMBLE STRIPES, CENTER LINE (CONCRETE)</v>
      </c>
      <c r="AF337" s="382" t="str">
        <f t="shared" si="15"/>
        <v>GROUND MOUNTED SUPPORT, NO. 3 POST</v>
      </c>
      <c r="AG337" s="382" t="str">
        <f t="shared" si="15"/>
        <v>SIGN, FLAT SHEET</v>
      </c>
      <c r="AH337" s="382" t="str">
        <f t="shared" si="15"/>
        <v>REMOVAL OF GROUND MOUNTED SIGN AND DISPOSAL</v>
      </c>
      <c r="AI337" s="382" t="str">
        <f t="shared" si="15"/>
        <v>REMOVAL OF GROUND MOUNTED POST SUPPORT AND DISPOSAL</v>
      </c>
    </row>
    <row r="338" spans="2:35" ht="12.75" customHeight="1" x14ac:dyDescent="0.2">
      <c r="B338" s="251"/>
      <c r="D338" s="361"/>
      <c r="E338" s="361"/>
      <c r="F338" s="366"/>
      <c r="G338" s="367"/>
      <c r="H338" s="367"/>
      <c r="I338" s="367"/>
      <c r="J338" s="368"/>
      <c r="K338" s="373"/>
      <c r="L338" s="376"/>
      <c r="M338" s="379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2"/>
      <c r="AA338" s="384"/>
      <c r="AB338" s="382"/>
      <c r="AC338" s="382"/>
      <c r="AD338" s="382"/>
      <c r="AE338" s="382"/>
      <c r="AF338" s="382"/>
      <c r="AG338" s="382"/>
      <c r="AH338" s="382"/>
      <c r="AI338" s="382"/>
    </row>
    <row r="339" spans="2:35" ht="12.75" customHeight="1" x14ac:dyDescent="0.2">
      <c r="B339" s="251"/>
      <c r="D339" s="361"/>
      <c r="E339" s="361"/>
      <c r="F339" s="366"/>
      <c r="G339" s="367"/>
      <c r="H339" s="367"/>
      <c r="I339" s="367"/>
      <c r="J339" s="368"/>
      <c r="K339" s="373"/>
      <c r="L339" s="376"/>
      <c r="M339" s="379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2"/>
      <c r="AA339" s="384"/>
      <c r="AB339" s="382"/>
      <c r="AC339" s="382"/>
      <c r="AD339" s="382"/>
      <c r="AE339" s="382"/>
      <c r="AF339" s="382"/>
      <c r="AG339" s="382"/>
      <c r="AH339" s="382"/>
      <c r="AI339" s="382"/>
    </row>
    <row r="340" spans="2:35" ht="12.75" customHeight="1" x14ac:dyDescent="0.2">
      <c r="B340" s="251"/>
      <c r="D340" s="361"/>
      <c r="E340" s="361"/>
      <c r="F340" s="366"/>
      <c r="G340" s="367"/>
      <c r="H340" s="367"/>
      <c r="I340" s="367"/>
      <c r="J340" s="368"/>
      <c r="K340" s="373"/>
      <c r="L340" s="376"/>
      <c r="M340" s="379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2"/>
      <c r="AA340" s="384"/>
      <c r="AB340" s="382"/>
      <c r="AC340" s="382"/>
      <c r="AD340" s="382"/>
      <c r="AE340" s="382"/>
      <c r="AF340" s="382"/>
      <c r="AG340" s="382"/>
      <c r="AH340" s="382"/>
      <c r="AI340" s="382"/>
    </row>
    <row r="341" spans="2:35" ht="12.75" customHeight="1" x14ac:dyDescent="0.2">
      <c r="B341" s="251"/>
      <c r="D341" s="361"/>
      <c r="E341" s="361"/>
      <c r="F341" s="366"/>
      <c r="G341" s="367"/>
      <c r="H341" s="367"/>
      <c r="I341" s="367"/>
      <c r="J341" s="368"/>
      <c r="K341" s="373"/>
      <c r="L341" s="376"/>
      <c r="M341" s="379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2"/>
      <c r="AA341" s="384"/>
      <c r="AB341" s="382"/>
      <c r="AC341" s="382"/>
      <c r="AD341" s="382"/>
      <c r="AE341" s="382"/>
      <c r="AF341" s="382"/>
      <c r="AG341" s="382"/>
      <c r="AH341" s="382"/>
      <c r="AI341" s="382"/>
    </row>
    <row r="342" spans="2:35" ht="12.75" customHeight="1" x14ac:dyDescent="0.2">
      <c r="B342" s="251"/>
      <c r="D342" s="361"/>
      <c r="E342" s="361"/>
      <c r="F342" s="366"/>
      <c r="G342" s="367"/>
      <c r="H342" s="367"/>
      <c r="I342" s="367"/>
      <c r="J342" s="368"/>
      <c r="K342" s="373"/>
      <c r="L342" s="376"/>
      <c r="M342" s="379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2"/>
      <c r="AA342" s="384"/>
      <c r="AB342" s="382"/>
      <c r="AC342" s="382"/>
      <c r="AD342" s="382"/>
      <c r="AE342" s="382"/>
      <c r="AF342" s="382"/>
      <c r="AG342" s="382"/>
      <c r="AH342" s="382"/>
      <c r="AI342" s="382"/>
    </row>
    <row r="343" spans="2:35" ht="12.75" customHeight="1" x14ac:dyDescent="0.2">
      <c r="B343" s="251"/>
      <c r="D343" s="361"/>
      <c r="E343" s="361"/>
      <c r="F343" s="366"/>
      <c r="G343" s="367"/>
      <c r="H343" s="367"/>
      <c r="I343" s="367"/>
      <c r="J343" s="368"/>
      <c r="K343" s="373"/>
      <c r="L343" s="376"/>
      <c r="M343" s="379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2"/>
      <c r="AA343" s="384"/>
      <c r="AB343" s="382"/>
      <c r="AC343" s="382"/>
      <c r="AD343" s="382"/>
      <c r="AE343" s="382"/>
      <c r="AF343" s="382"/>
      <c r="AG343" s="382"/>
      <c r="AH343" s="382"/>
      <c r="AI343" s="382"/>
    </row>
    <row r="344" spans="2:35" ht="12.75" customHeight="1" x14ac:dyDescent="0.2">
      <c r="B344" s="251"/>
      <c r="D344" s="361"/>
      <c r="E344" s="361"/>
      <c r="F344" s="366"/>
      <c r="G344" s="367"/>
      <c r="H344" s="367"/>
      <c r="I344" s="367"/>
      <c r="J344" s="368"/>
      <c r="K344" s="373"/>
      <c r="L344" s="376"/>
      <c r="M344" s="379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2"/>
      <c r="AA344" s="384"/>
      <c r="AB344" s="382"/>
      <c r="AC344" s="382"/>
      <c r="AD344" s="382"/>
      <c r="AE344" s="382"/>
      <c r="AF344" s="382"/>
      <c r="AG344" s="382"/>
      <c r="AH344" s="382"/>
      <c r="AI344" s="382"/>
    </row>
    <row r="345" spans="2:35" ht="12.75" customHeight="1" x14ac:dyDescent="0.2">
      <c r="B345" s="251"/>
      <c r="D345" s="361"/>
      <c r="E345" s="361"/>
      <c r="F345" s="366"/>
      <c r="G345" s="367"/>
      <c r="H345" s="367"/>
      <c r="I345" s="367"/>
      <c r="J345" s="368"/>
      <c r="K345" s="373"/>
      <c r="L345" s="376"/>
      <c r="M345" s="379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2"/>
      <c r="AA345" s="384"/>
      <c r="AB345" s="382"/>
      <c r="AC345" s="382"/>
      <c r="AD345" s="382"/>
      <c r="AE345" s="382"/>
      <c r="AF345" s="382"/>
      <c r="AG345" s="382"/>
      <c r="AH345" s="382"/>
      <c r="AI345" s="382"/>
    </row>
    <row r="346" spans="2:35" ht="12.75" customHeight="1" x14ac:dyDescent="0.2">
      <c r="B346" s="251"/>
      <c r="D346" s="361"/>
      <c r="E346" s="361"/>
      <c r="F346" s="366"/>
      <c r="G346" s="367"/>
      <c r="H346" s="367"/>
      <c r="I346" s="367"/>
      <c r="J346" s="368"/>
      <c r="K346" s="373"/>
      <c r="L346" s="376"/>
      <c r="M346" s="379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2"/>
      <c r="AA346" s="384"/>
      <c r="AB346" s="382"/>
      <c r="AC346" s="382"/>
      <c r="AD346" s="382"/>
      <c r="AE346" s="382"/>
      <c r="AF346" s="382"/>
      <c r="AG346" s="382"/>
      <c r="AH346" s="382"/>
      <c r="AI346" s="382"/>
    </row>
    <row r="347" spans="2:35" ht="12.75" customHeight="1" x14ac:dyDescent="0.2">
      <c r="B347" s="251"/>
      <c r="D347" s="361"/>
      <c r="E347" s="361"/>
      <c r="F347" s="366"/>
      <c r="G347" s="367"/>
      <c r="H347" s="367"/>
      <c r="I347" s="367"/>
      <c r="J347" s="368"/>
      <c r="K347" s="373"/>
      <c r="L347" s="376"/>
      <c r="M347" s="379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2"/>
      <c r="AA347" s="384"/>
      <c r="AB347" s="382"/>
      <c r="AC347" s="382"/>
      <c r="AD347" s="382"/>
      <c r="AE347" s="382"/>
      <c r="AF347" s="382"/>
      <c r="AG347" s="382"/>
      <c r="AH347" s="382"/>
      <c r="AI347" s="382"/>
    </row>
    <row r="348" spans="2:35" ht="12.75" customHeight="1" x14ac:dyDescent="0.2">
      <c r="B348" s="251"/>
      <c r="D348" s="361"/>
      <c r="E348" s="361"/>
      <c r="F348" s="366"/>
      <c r="G348" s="367"/>
      <c r="H348" s="367"/>
      <c r="I348" s="367"/>
      <c r="J348" s="368"/>
      <c r="K348" s="373"/>
      <c r="L348" s="377"/>
      <c r="M348" s="380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2"/>
      <c r="AA348" s="385"/>
      <c r="AB348" s="382"/>
      <c r="AC348" s="382"/>
      <c r="AD348" s="382"/>
      <c r="AE348" s="382"/>
      <c r="AF348" s="382"/>
      <c r="AG348" s="382"/>
      <c r="AH348" s="382"/>
      <c r="AI348" s="382"/>
    </row>
    <row r="349" spans="2:35" ht="12.75" customHeight="1" thickBot="1" x14ac:dyDescent="0.25">
      <c r="B349" s="252"/>
      <c r="D349" s="362"/>
      <c r="E349" s="362"/>
      <c r="F349" s="369"/>
      <c r="G349" s="370"/>
      <c r="H349" s="370"/>
      <c r="I349" s="370"/>
      <c r="J349" s="371"/>
      <c r="K349" s="374"/>
      <c r="L349" s="8" t="str">
        <f t="shared" ref="L349:AI349" si="16">IF(OR(TRIM(L334)=0,TRIM(L334)=""),"",IFERROR(TRIM(INDEX(QryItemNamed,MATCH(TRIM(L334),ITEM,0),3)),""))</f>
        <v/>
      </c>
      <c r="M349" s="8" t="str">
        <f t="shared" si="16"/>
        <v/>
      </c>
      <c r="N349" s="8" t="str">
        <f t="shared" si="16"/>
        <v>MILE</v>
      </c>
      <c r="O349" s="8" t="str">
        <f t="shared" si="16"/>
        <v>MILE</v>
      </c>
      <c r="P349" s="8" t="str">
        <f t="shared" si="16"/>
        <v>MILE</v>
      </c>
      <c r="Q349" s="8" t="str">
        <f t="shared" si="16"/>
        <v>FT</v>
      </c>
      <c r="R349" s="8" t="s">
        <v>46</v>
      </c>
      <c r="S349" s="8" t="s">
        <v>46</v>
      </c>
      <c r="T349" s="8" t="s">
        <v>46</v>
      </c>
      <c r="U349" s="8" t="s">
        <v>51</v>
      </c>
      <c r="V349" s="8" t="s">
        <v>51</v>
      </c>
      <c r="W349" s="8" t="s">
        <v>51</v>
      </c>
      <c r="X349" s="8" t="str">
        <f t="shared" si="16"/>
        <v>FT</v>
      </c>
      <c r="Y349" s="8" t="s">
        <v>46</v>
      </c>
      <c r="Z349" s="8" t="str">
        <f t="shared" si="16"/>
        <v>FT</v>
      </c>
      <c r="AA349" s="8" t="str">
        <f t="shared" si="16"/>
        <v>EACH</v>
      </c>
      <c r="AB349" s="8" t="str">
        <f>IF(OR(TRIM(AB334)=0,TRIM(AB334)=""),"",IFERROR(TRIM(INDEX(QryItemNamed,MATCH(TRIM(AB334),ITEM,0),3)),""))</f>
        <v>MILE</v>
      </c>
      <c r="AC349" s="8" t="str">
        <f>IF(OR(TRIM(AC334)=0,TRIM(AC334)=""),"",IFERROR(TRIM(INDEX(QryItemNamed,MATCH(TRIM(AC334),ITEM,0),3)),""))</f>
        <v>MILE</v>
      </c>
      <c r="AD349" s="8" t="str">
        <f>IF(OR(TRIM(AD334)=0,TRIM(AD334)=""),"",IFERROR(TRIM(INDEX(QryItemNamed,MATCH(TRIM(AD334),ITEM,0),3)),""))</f>
        <v>MILE</v>
      </c>
      <c r="AE349" s="8" t="str">
        <f>IF(OR(TRIM(AE334)=0,TRIM(AE334)=""),"",IFERROR(TRIM(INDEX(QryItemNamed,MATCH(TRIM(AE334),ITEM,0),3)),""))</f>
        <v>MILE</v>
      </c>
      <c r="AF349" s="8" t="str">
        <f t="shared" si="16"/>
        <v>FT</v>
      </c>
      <c r="AG349" s="8" t="str">
        <f t="shared" si="16"/>
        <v>SF</v>
      </c>
      <c r="AH349" s="8" t="str">
        <f t="shared" si="16"/>
        <v>EACH</v>
      </c>
      <c r="AI349" s="8" t="str">
        <f t="shared" si="16"/>
        <v>EACH</v>
      </c>
    </row>
    <row r="350" spans="2:35" ht="12.75" customHeight="1" thickBot="1" x14ac:dyDescent="0.25">
      <c r="B350" s="21"/>
      <c r="D350" s="11" t="s">
        <v>328</v>
      </c>
      <c r="E350" s="11">
        <v>30</v>
      </c>
      <c r="F350" s="340">
        <v>173698</v>
      </c>
      <c r="G350" s="341"/>
      <c r="H350" s="11" t="s">
        <v>1</v>
      </c>
      <c r="I350" s="340">
        <v>173800</v>
      </c>
      <c r="J350" s="342"/>
      <c r="K350" s="13" t="s">
        <v>25</v>
      </c>
      <c r="L350" s="11"/>
      <c r="M350" s="11"/>
      <c r="N350" s="11"/>
      <c r="O350" s="11"/>
      <c r="P350" s="11"/>
      <c r="Q350" s="32">
        <f>I350-F350</f>
        <v>102</v>
      </c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9"/>
      <c r="AD350" s="9"/>
      <c r="AE350" s="9"/>
      <c r="AF350" s="11"/>
      <c r="AG350" s="9"/>
      <c r="AH350" s="9"/>
      <c r="AI350" s="9"/>
    </row>
    <row r="351" spans="2:35" ht="12.75" customHeight="1" x14ac:dyDescent="0.2">
      <c r="B351" s="21"/>
      <c r="D351" s="11" t="s">
        <v>653</v>
      </c>
      <c r="E351" s="11">
        <v>30</v>
      </c>
      <c r="F351" s="340">
        <v>173698</v>
      </c>
      <c r="G351" s="341"/>
      <c r="H351" s="11" t="s">
        <v>1</v>
      </c>
      <c r="I351" s="340">
        <v>173800</v>
      </c>
      <c r="J351" s="342"/>
      <c r="K351" s="13" t="s">
        <v>25</v>
      </c>
      <c r="L351" s="53">
        <f>ROUNDUP((I351-F351)/40,0)</f>
        <v>3</v>
      </c>
      <c r="M351" s="11"/>
      <c r="N351" s="11"/>
      <c r="O351" s="11"/>
      <c r="P351" s="11"/>
      <c r="Q351" s="32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40"/>
      <c r="AD351" s="40"/>
      <c r="AE351" s="40"/>
      <c r="AF351" s="11"/>
      <c r="AG351" s="40"/>
      <c r="AH351" s="40"/>
      <c r="AI351" s="40"/>
    </row>
    <row r="352" spans="2:35" ht="12.75" customHeight="1" x14ac:dyDescent="0.2">
      <c r="B352" s="22"/>
      <c r="D352" s="11" t="s">
        <v>329</v>
      </c>
      <c r="E352" s="11">
        <v>30</v>
      </c>
      <c r="F352" s="337">
        <v>173578</v>
      </c>
      <c r="G352" s="339"/>
      <c r="H352" s="11"/>
      <c r="I352" s="337">
        <v>173666</v>
      </c>
      <c r="J352" s="338"/>
      <c r="K352" s="13" t="s">
        <v>25</v>
      </c>
      <c r="L352" s="11"/>
      <c r="M352" s="11"/>
      <c r="N352" s="11"/>
      <c r="O352" s="11"/>
      <c r="P352" s="11"/>
      <c r="Q352" s="32">
        <f>I352-F352</f>
        <v>88</v>
      </c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2:35" ht="12.75" customHeight="1" x14ac:dyDescent="0.2">
      <c r="B353" s="22"/>
      <c r="D353" s="11" t="s">
        <v>654</v>
      </c>
      <c r="E353" s="11">
        <v>30</v>
      </c>
      <c r="F353" s="337">
        <v>173578</v>
      </c>
      <c r="G353" s="339"/>
      <c r="H353" s="11"/>
      <c r="I353" s="337">
        <v>173666</v>
      </c>
      <c r="J353" s="338"/>
      <c r="K353" s="13" t="s">
        <v>25</v>
      </c>
      <c r="L353" s="53">
        <f>ROUNDUP((I353-F353)/40,0)</f>
        <v>3</v>
      </c>
      <c r="M353" s="11"/>
      <c r="N353" s="11"/>
      <c r="O353" s="11"/>
      <c r="P353" s="11"/>
      <c r="Q353" s="32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2:35" ht="12.75" customHeight="1" x14ac:dyDescent="0.2">
      <c r="B354" s="22"/>
      <c r="D354" s="11" t="s">
        <v>330</v>
      </c>
      <c r="E354" s="11">
        <v>30</v>
      </c>
      <c r="F354" s="337">
        <v>173609</v>
      </c>
      <c r="G354" s="339"/>
      <c r="H354" s="11"/>
      <c r="I354" s="344"/>
      <c r="J354" s="345"/>
      <c r="K354" s="13" t="s">
        <v>25</v>
      </c>
      <c r="L354" s="11"/>
      <c r="M354" s="11"/>
      <c r="N354" s="11"/>
      <c r="O354" s="11"/>
      <c r="P354" s="11"/>
      <c r="Q354" s="32"/>
      <c r="R354" s="11"/>
      <c r="S354" s="11">
        <f>20+19</f>
        <v>39</v>
      </c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2:35" ht="12.6" customHeight="1" x14ac:dyDescent="0.2">
      <c r="B355" s="22"/>
      <c r="D355" s="11" t="s">
        <v>331</v>
      </c>
      <c r="E355" s="11">
        <v>30</v>
      </c>
      <c r="F355" s="337">
        <v>173638</v>
      </c>
      <c r="G355" s="339"/>
      <c r="H355" s="11"/>
      <c r="I355" s="344"/>
      <c r="J355" s="345"/>
      <c r="K355" s="13" t="s">
        <v>25</v>
      </c>
      <c r="L355" s="11"/>
      <c r="M355" s="11"/>
      <c r="N355" s="11"/>
      <c r="O355" s="11"/>
      <c r="P355" s="11"/>
      <c r="Q355" s="11"/>
      <c r="R355" s="11"/>
      <c r="S355" s="11">
        <f>23+18</f>
        <v>41</v>
      </c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2:35" ht="12.75" customHeight="1" x14ac:dyDescent="0.2">
      <c r="B356" s="22"/>
      <c r="D356" s="11" t="s">
        <v>332</v>
      </c>
      <c r="E356" s="11">
        <v>30</v>
      </c>
      <c r="F356" s="48"/>
      <c r="G356" s="49"/>
      <c r="H356" s="11"/>
      <c r="I356" s="48"/>
      <c r="J356" s="51"/>
      <c r="K356" s="13" t="s">
        <v>24</v>
      </c>
      <c r="L356" s="11"/>
      <c r="M356" s="11"/>
      <c r="N356" s="11"/>
      <c r="O356" s="11"/>
      <c r="P356" s="11"/>
      <c r="Q356" s="11"/>
      <c r="R356" s="11"/>
      <c r="S356" s="11"/>
      <c r="T356" s="11">
        <f>9</f>
        <v>9</v>
      </c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2:35" ht="12.75" customHeight="1" x14ac:dyDescent="0.2">
      <c r="B357" s="22"/>
      <c r="D357" s="11" t="s">
        <v>333</v>
      </c>
      <c r="E357" s="11">
        <v>30</v>
      </c>
      <c r="F357" s="337">
        <v>160115</v>
      </c>
      <c r="G357" s="339"/>
      <c r="H357" s="11"/>
      <c r="I357" s="344"/>
      <c r="J357" s="345"/>
      <c r="K357" s="13" t="s">
        <v>24</v>
      </c>
      <c r="L357" s="11"/>
      <c r="M357" s="11"/>
      <c r="N357" s="11"/>
      <c r="O357" s="11"/>
      <c r="P357" s="11"/>
      <c r="Q357" s="11"/>
      <c r="R357" s="11"/>
      <c r="S357" s="11"/>
      <c r="T357" s="11"/>
      <c r="U357" s="11">
        <v>1</v>
      </c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2:35" ht="12.75" customHeight="1" x14ac:dyDescent="0.2">
      <c r="B358" s="22"/>
      <c r="D358" s="11" t="s">
        <v>334</v>
      </c>
      <c r="E358" s="11">
        <v>30</v>
      </c>
      <c r="F358" s="337">
        <v>173432</v>
      </c>
      <c r="G358" s="339"/>
      <c r="H358" s="11"/>
      <c r="I358" s="344"/>
      <c r="J358" s="345"/>
      <c r="K358" s="13" t="s">
        <v>24</v>
      </c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>
        <v>1</v>
      </c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2:35" ht="12.75" customHeight="1" x14ac:dyDescent="0.2">
      <c r="B359" s="22"/>
      <c r="D359" s="11" t="s">
        <v>335</v>
      </c>
      <c r="E359" s="11">
        <v>30</v>
      </c>
      <c r="F359" s="337">
        <v>173478</v>
      </c>
      <c r="G359" s="339"/>
      <c r="H359" s="11"/>
      <c r="I359" s="344"/>
      <c r="J359" s="345"/>
      <c r="K359" s="13" t="s">
        <v>24</v>
      </c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>
        <v>1</v>
      </c>
      <c r="W359" s="11"/>
      <c r="X359" s="32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2:35" ht="12.75" customHeight="1" x14ac:dyDescent="0.2">
      <c r="B360" s="22"/>
      <c r="D360" s="11" t="s">
        <v>336</v>
      </c>
      <c r="E360" s="11">
        <v>30</v>
      </c>
      <c r="F360" s="337">
        <v>173496</v>
      </c>
      <c r="G360" s="339"/>
      <c r="H360" s="11"/>
      <c r="I360" s="344"/>
      <c r="J360" s="345"/>
      <c r="K360" s="13" t="s">
        <v>24</v>
      </c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>
        <v>1</v>
      </c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2:35" ht="12.75" customHeight="1" x14ac:dyDescent="0.2">
      <c r="B361" s="22"/>
      <c r="D361" s="11" t="s">
        <v>337</v>
      </c>
      <c r="E361" s="11">
        <v>30</v>
      </c>
      <c r="F361" s="337">
        <v>173548</v>
      </c>
      <c r="G361" s="339"/>
      <c r="H361" s="11"/>
      <c r="I361" s="344"/>
      <c r="J361" s="345"/>
      <c r="K361" s="13" t="s">
        <v>24</v>
      </c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>
        <v>1</v>
      </c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2:35" ht="12.75" customHeight="1" x14ac:dyDescent="0.2">
      <c r="B362" s="22"/>
      <c r="D362" s="11" t="s">
        <v>338</v>
      </c>
      <c r="E362" s="11">
        <v>30</v>
      </c>
      <c r="F362" s="337">
        <v>173568</v>
      </c>
      <c r="G362" s="339"/>
      <c r="H362" s="11"/>
      <c r="I362" s="344"/>
      <c r="J362" s="345"/>
      <c r="K362" s="13" t="s">
        <v>24</v>
      </c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>
        <v>1</v>
      </c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2:35" ht="12.75" customHeight="1" x14ac:dyDescent="0.2">
      <c r="B363" s="22"/>
      <c r="D363" s="11" t="s">
        <v>339</v>
      </c>
      <c r="E363" s="11">
        <v>30</v>
      </c>
      <c r="F363" s="337">
        <v>173569</v>
      </c>
      <c r="G363" s="339"/>
      <c r="H363" s="11"/>
      <c r="I363" s="344"/>
      <c r="J363" s="345"/>
      <c r="K363" s="13" t="s">
        <v>25</v>
      </c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>
        <v>1</v>
      </c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2:35" ht="12.75" customHeight="1" x14ac:dyDescent="0.2">
      <c r="B364" s="22"/>
      <c r="D364" s="11" t="s">
        <v>340</v>
      </c>
      <c r="E364" s="11">
        <v>30</v>
      </c>
      <c r="F364" s="337">
        <v>173641</v>
      </c>
      <c r="G364" s="339"/>
      <c r="H364" s="11"/>
      <c r="I364" s="344"/>
      <c r="J364" s="345"/>
      <c r="K364" s="13" t="s">
        <v>24</v>
      </c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>
        <v>1</v>
      </c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2:35" ht="12.75" customHeight="1" x14ac:dyDescent="0.2">
      <c r="B365" s="22"/>
      <c r="D365" s="11" t="s">
        <v>341</v>
      </c>
      <c r="E365" s="11">
        <v>30</v>
      </c>
      <c r="F365" s="337">
        <v>173617</v>
      </c>
      <c r="G365" s="339"/>
      <c r="H365" s="11"/>
      <c r="I365" s="344"/>
      <c r="J365" s="345"/>
      <c r="K365" s="13" t="s">
        <v>25</v>
      </c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>
        <v>1</v>
      </c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2:35" ht="12.75" customHeight="1" x14ac:dyDescent="0.2">
      <c r="B366" s="22"/>
      <c r="D366" s="11" t="s">
        <v>342</v>
      </c>
      <c r="E366" s="11">
        <v>30</v>
      </c>
      <c r="F366" s="337">
        <v>173617</v>
      </c>
      <c r="G366" s="339"/>
      <c r="H366" s="11"/>
      <c r="I366" s="344"/>
      <c r="J366" s="345"/>
      <c r="K366" s="13" t="s">
        <v>25</v>
      </c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>
        <v>1</v>
      </c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2:35" ht="12.75" customHeight="1" x14ac:dyDescent="0.2">
      <c r="B367" s="22"/>
      <c r="D367" s="11" t="s">
        <v>343</v>
      </c>
      <c r="E367" s="11">
        <v>30</v>
      </c>
      <c r="F367" s="337">
        <v>173697</v>
      </c>
      <c r="G367" s="339"/>
      <c r="H367" s="11"/>
      <c r="I367" s="344"/>
      <c r="J367" s="345"/>
      <c r="K367" s="13" t="s">
        <v>25</v>
      </c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>
        <v>1</v>
      </c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2:35" ht="12.75" customHeight="1" x14ac:dyDescent="0.2">
      <c r="B368" s="22"/>
      <c r="D368" s="11" t="s">
        <v>344</v>
      </c>
      <c r="E368" s="11">
        <v>30</v>
      </c>
      <c r="F368" s="337">
        <v>173711</v>
      </c>
      <c r="G368" s="339"/>
      <c r="H368" s="11"/>
      <c r="I368" s="344"/>
      <c r="J368" s="345"/>
      <c r="K368" s="13" t="s">
        <v>25</v>
      </c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>
        <v>1</v>
      </c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2:35" ht="12.75" customHeight="1" x14ac:dyDescent="0.2">
      <c r="B369" s="22"/>
      <c r="D369" s="11" t="s">
        <v>345</v>
      </c>
      <c r="E369" s="11">
        <v>30</v>
      </c>
      <c r="F369" s="337">
        <v>173712</v>
      </c>
      <c r="G369" s="339"/>
      <c r="H369" s="11"/>
      <c r="I369" s="344"/>
      <c r="J369" s="345"/>
      <c r="K369" s="13" t="s">
        <v>25</v>
      </c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>
        <v>1</v>
      </c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2:35" ht="12.75" customHeight="1" x14ac:dyDescent="0.2">
      <c r="B370" s="22"/>
      <c r="D370" s="11" t="s">
        <v>346</v>
      </c>
      <c r="E370" s="11">
        <v>30</v>
      </c>
      <c r="F370" s="337">
        <v>173789</v>
      </c>
      <c r="G370" s="339"/>
      <c r="H370" s="11"/>
      <c r="I370" s="344"/>
      <c r="J370" s="345"/>
      <c r="K370" s="13" t="s">
        <v>25</v>
      </c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>
        <v>1</v>
      </c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2:35" ht="12.75" customHeight="1" x14ac:dyDescent="0.2">
      <c r="B371" s="22"/>
      <c r="D371" s="11" t="s">
        <v>347</v>
      </c>
      <c r="E371" s="11">
        <v>30</v>
      </c>
      <c r="F371" s="337">
        <v>173790</v>
      </c>
      <c r="G371" s="339"/>
      <c r="H371" s="11"/>
      <c r="I371" s="344"/>
      <c r="J371" s="345"/>
      <c r="K371" s="13" t="s">
        <v>24</v>
      </c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>
        <v>1</v>
      </c>
      <c r="W371" s="11"/>
      <c r="X371" s="32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2:35" ht="12.75" customHeight="1" x14ac:dyDescent="0.2">
      <c r="B372" s="22"/>
      <c r="D372" s="11" t="s">
        <v>348</v>
      </c>
      <c r="E372" s="11">
        <v>30</v>
      </c>
      <c r="F372" s="337">
        <v>173335</v>
      </c>
      <c r="G372" s="339"/>
      <c r="H372" s="11"/>
      <c r="I372" s="337">
        <v>173406</v>
      </c>
      <c r="J372" s="338"/>
      <c r="K372" s="13" t="s">
        <v>24</v>
      </c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32">
        <f>I372-F372</f>
        <v>71</v>
      </c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2:35" ht="12.75" customHeight="1" x14ac:dyDescent="0.2">
      <c r="B373" s="22"/>
      <c r="D373" s="11" t="s">
        <v>349</v>
      </c>
      <c r="E373" s="11">
        <v>30</v>
      </c>
      <c r="F373" s="337">
        <v>173566</v>
      </c>
      <c r="G373" s="339"/>
      <c r="H373" s="11"/>
      <c r="I373" s="337">
        <v>173600</v>
      </c>
      <c r="J373" s="338"/>
      <c r="K373" s="13" t="s">
        <v>24</v>
      </c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>
        <f>113</f>
        <v>113</v>
      </c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2:35" ht="12.75" customHeight="1" x14ac:dyDescent="0.2">
      <c r="B374" s="22"/>
      <c r="D374" s="11" t="s">
        <v>350</v>
      </c>
      <c r="E374" s="11">
        <v>30</v>
      </c>
      <c r="F374" s="337">
        <v>173573</v>
      </c>
      <c r="G374" s="339"/>
      <c r="H374" s="11"/>
      <c r="I374" s="337">
        <v>173609</v>
      </c>
      <c r="J374" s="338"/>
      <c r="K374" s="13" t="s">
        <v>24</v>
      </c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>
        <f>I374-F374</f>
        <v>36</v>
      </c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2:35" ht="12.75" customHeight="1" x14ac:dyDescent="0.2">
      <c r="B375" s="22"/>
      <c r="D375" s="11" t="s">
        <v>351</v>
      </c>
      <c r="E375" s="11">
        <v>30</v>
      </c>
      <c r="F375" s="337">
        <v>173650</v>
      </c>
      <c r="G375" s="339"/>
      <c r="H375" s="11"/>
      <c r="I375" s="337">
        <v>173725</v>
      </c>
      <c r="J375" s="338"/>
      <c r="K375" s="13" t="s">
        <v>24</v>
      </c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>
        <f>I375-F375</f>
        <v>75</v>
      </c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2:35" ht="12.75" customHeight="1" x14ac:dyDescent="0.2">
      <c r="B376" s="22"/>
      <c r="D376" s="11" t="s">
        <v>352</v>
      </c>
      <c r="E376" s="11">
        <v>30</v>
      </c>
      <c r="F376" s="337">
        <v>173666</v>
      </c>
      <c r="G376" s="339"/>
      <c r="H376" s="11"/>
      <c r="I376" s="337">
        <v>173685</v>
      </c>
      <c r="J376" s="338"/>
      <c r="K376" s="13" t="s">
        <v>25</v>
      </c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>
        <f>14+23</f>
        <v>37</v>
      </c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2:35" ht="12.75" customHeight="1" x14ac:dyDescent="0.2">
      <c r="B377" s="22"/>
      <c r="D377" s="11" t="s">
        <v>353</v>
      </c>
      <c r="E377" s="11">
        <v>30</v>
      </c>
      <c r="F377" s="337">
        <v>173680</v>
      </c>
      <c r="G377" s="339"/>
      <c r="H377" s="11"/>
      <c r="I377" s="337">
        <v>173704</v>
      </c>
      <c r="J377" s="338"/>
      <c r="K377" s="13" t="s">
        <v>25</v>
      </c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>
        <f>29+25</f>
        <v>54</v>
      </c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2:35" ht="12.75" customHeight="1" x14ac:dyDescent="0.2">
      <c r="B378" s="22"/>
      <c r="D378" s="11" t="s">
        <v>354</v>
      </c>
      <c r="E378" s="11">
        <v>30</v>
      </c>
      <c r="F378" s="337">
        <v>173566</v>
      </c>
      <c r="G378" s="339"/>
      <c r="H378" s="11"/>
      <c r="I378" s="344"/>
      <c r="J378" s="345"/>
      <c r="K378" s="13" t="s">
        <v>24</v>
      </c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>
        <v>16</v>
      </c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2:35" ht="12.75" customHeight="1" x14ac:dyDescent="0.2">
      <c r="B379" s="22"/>
      <c r="D379" s="11" t="s">
        <v>355</v>
      </c>
      <c r="E379" s="11">
        <v>30</v>
      </c>
      <c r="F379" s="337">
        <v>173589</v>
      </c>
      <c r="G379" s="339"/>
      <c r="H379" s="11"/>
      <c r="I379" s="344"/>
      <c r="J379" s="345"/>
      <c r="K379" s="13" t="s">
        <v>24</v>
      </c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>
        <v>16</v>
      </c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2:35" ht="12.75" customHeight="1" x14ac:dyDescent="0.2">
      <c r="B380" s="22"/>
      <c r="D380" s="11" t="s">
        <v>356</v>
      </c>
      <c r="E380" s="11">
        <v>30</v>
      </c>
      <c r="F380" s="337">
        <v>173609</v>
      </c>
      <c r="G380" s="339"/>
      <c r="H380" s="11"/>
      <c r="I380" s="344"/>
      <c r="J380" s="345"/>
      <c r="K380" s="13" t="s">
        <v>25</v>
      </c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>
        <v>16</v>
      </c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2:35" ht="12.75" customHeight="1" x14ac:dyDescent="0.2">
      <c r="B381" s="22"/>
      <c r="D381" s="11" t="s">
        <v>357</v>
      </c>
      <c r="E381" s="11">
        <v>30</v>
      </c>
      <c r="F381" s="337">
        <v>173693</v>
      </c>
      <c r="G381" s="339"/>
      <c r="H381" s="11"/>
      <c r="I381" s="344"/>
      <c r="J381" s="345"/>
      <c r="K381" s="13" t="s">
        <v>24</v>
      </c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>
        <v>20</v>
      </c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2:35" ht="12.75" customHeight="1" x14ac:dyDescent="0.2">
      <c r="B382" s="22"/>
      <c r="D382" s="11" t="s">
        <v>358</v>
      </c>
      <c r="E382" s="11">
        <v>30</v>
      </c>
      <c r="F382" s="389">
        <v>173698</v>
      </c>
      <c r="G382" s="390"/>
      <c r="H382" s="11"/>
      <c r="I382" s="344"/>
      <c r="J382" s="345"/>
      <c r="K382" s="13" t="s">
        <v>25</v>
      </c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>
        <v>12</v>
      </c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2:35" ht="12.75" customHeight="1" x14ac:dyDescent="0.2">
      <c r="B383" s="22"/>
      <c r="D383" s="11" t="s">
        <v>359</v>
      </c>
      <c r="E383" s="11">
        <v>30</v>
      </c>
      <c r="F383" s="337">
        <v>173704</v>
      </c>
      <c r="G383" s="339"/>
      <c r="H383" s="11"/>
      <c r="I383" s="344"/>
      <c r="J383" s="345"/>
      <c r="K383" s="13" t="s">
        <v>25</v>
      </c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>
        <v>12</v>
      </c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2:35" ht="12.75" customHeight="1" x14ac:dyDescent="0.2">
      <c r="B384" s="22"/>
      <c r="D384" s="11" t="s">
        <v>379</v>
      </c>
      <c r="E384" s="11">
        <v>30</v>
      </c>
      <c r="F384" s="337">
        <v>173406</v>
      </c>
      <c r="G384" s="339"/>
      <c r="H384" s="11"/>
      <c r="I384" s="337">
        <v>173455</v>
      </c>
      <c r="J384" s="338"/>
      <c r="K384" s="13" t="s">
        <v>24</v>
      </c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>
        <f>2*(1.5+3+4+6)</f>
        <v>29</v>
      </c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2:35" ht="12.75" customHeight="1" x14ac:dyDescent="0.2">
      <c r="B385" s="22"/>
      <c r="D385" s="11" t="s">
        <v>380</v>
      </c>
      <c r="E385" s="11">
        <v>30</v>
      </c>
      <c r="F385" s="337">
        <v>173701</v>
      </c>
      <c r="G385" s="339"/>
      <c r="H385" s="11"/>
      <c r="I385" s="337">
        <v>173800</v>
      </c>
      <c r="J385" s="338"/>
      <c r="K385" s="13" t="s">
        <v>25</v>
      </c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>
        <f>2*5*4</f>
        <v>40</v>
      </c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2:35" ht="12.75" customHeight="1" x14ac:dyDescent="0.2">
      <c r="B386" s="22"/>
      <c r="D386" s="11" t="s">
        <v>360</v>
      </c>
      <c r="E386" s="11">
        <v>30</v>
      </c>
      <c r="F386" s="337">
        <v>173631</v>
      </c>
      <c r="G386" s="339"/>
      <c r="H386" s="11"/>
      <c r="I386" s="344"/>
      <c r="J386" s="345"/>
      <c r="K386" s="13" t="s">
        <v>25</v>
      </c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>
        <v>1</v>
      </c>
      <c r="AB386" s="11"/>
      <c r="AC386" s="11"/>
      <c r="AD386" s="11"/>
      <c r="AE386" s="11"/>
      <c r="AF386" s="11"/>
      <c r="AG386" s="11"/>
      <c r="AH386" s="11"/>
      <c r="AI386" s="11"/>
    </row>
    <row r="387" spans="2:35" ht="12.75" customHeight="1" x14ac:dyDescent="0.2">
      <c r="B387" s="22"/>
      <c r="D387" s="11" t="s">
        <v>361</v>
      </c>
      <c r="E387" s="11">
        <v>30</v>
      </c>
      <c r="F387" s="337">
        <v>173631</v>
      </c>
      <c r="G387" s="339"/>
      <c r="H387" s="11"/>
      <c r="I387" s="344"/>
      <c r="J387" s="345"/>
      <c r="K387" s="13" t="s">
        <v>25</v>
      </c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>
        <v>1</v>
      </c>
      <c r="AB387" s="11"/>
      <c r="AC387" s="11"/>
      <c r="AD387" s="11"/>
      <c r="AE387" s="11"/>
      <c r="AF387" s="11"/>
      <c r="AG387" s="11"/>
      <c r="AH387" s="11"/>
      <c r="AI387" s="11"/>
    </row>
    <row r="388" spans="2:35" ht="12.75" customHeight="1" x14ac:dyDescent="0.2">
      <c r="B388" s="22"/>
      <c r="D388" s="11" t="s">
        <v>362</v>
      </c>
      <c r="E388" s="11">
        <v>31</v>
      </c>
      <c r="F388" s="337">
        <v>173800</v>
      </c>
      <c r="G388" s="339"/>
      <c r="H388" s="11"/>
      <c r="I388" s="337">
        <v>174300</v>
      </c>
      <c r="J388" s="338"/>
      <c r="K388" s="13" t="s">
        <v>24</v>
      </c>
      <c r="L388" s="11"/>
      <c r="M388" s="11"/>
      <c r="N388" s="35">
        <f>(I388-F388)/5280</f>
        <v>9.4696969696969696E-2</v>
      </c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2:35" ht="12.75" customHeight="1" x14ac:dyDescent="0.2">
      <c r="B389" s="22"/>
      <c r="D389" s="11" t="s">
        <v>363</v>
      </c>
      <c r="E389" s="11">
        <v>31</v>
      </c>
      <c r="F389" s="337">
        <v>173800</v>
      </c>
      <c r="G389" s="339"/>
      <c r="H389" s="11"/>
      <c r="I389" s="337">
        <v>174300</v>
      </c>
      <c r="J389" s="338"/>
      <c r="K389" s="13" t="s">
        <v>25</v>
      </c>
      <c r="L389" s="11"/>
      <c r="M389" s="11"/>
      <c r="N389" s="35">
        <f>(I389-F389)/5280</f>
        <v>9.4696969696969696E-2</v>
      </c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2:35" ht="12.75" customHeight="1" x14ac:dyDescent="0.2">
      <c r="B390" s="22"/>
      <c r="D390" s="11" t="s">
        <v>364</v>
      </c>
      <c r="E390" s="11">
        <v>31</v>
      </c>
      <c r="F390" s="337">
        <v>173800</v>
      </c>
      <c r="G390" s="339"/>
      <c r="H390" s="11"/>
      <c r="I390" s="337">
        <v>173907</v>
      </c>
      <c r="J390" s="338"/>
      <c r="K390" s="13" t="s">
        <v>24</v>
      </c>
      <c r="L390" s="11"/>
      <c r="M390" s="11"/>
      <c r="N390" s="11"/>
      <c r="O390" s="35">
        <f>(I390-F390)/5280</f>
        <v>2.0265151515151514E-2</v>
      </c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2:35" ht="12.75" customHeight="1" x14ac:dyDescent="0.2">
      <c r="B391" s="22"/>
      <c r="D391" s="11" t="s">
        <v>655</v>
      </c>
      <c r="E391" s="11">
        <v>31</v>
      </c>
      <c r="F391" s="337">
        <v>173800</v>
      </c>
      <c r="G391" s="339"/>
      <c r="H391" s="11"/>
      <c r="I391" s="337">
        <v>173907</v>
      </c>
      <c r="J391" s="338"/>
      <c r="K391" s="13" t="s">
        <v>24</v>
      </c>
      <c r="L391" s="53">
        <f>ROUNDUP((I391-F391)/40,0)</f>
        <v>3</v>
      </c>
      <c r="M391" s="11"/>
      <c r="N391" s="11"/>
      <c r="O391" s="35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2:35" ht="12.75" customHeight="1" x14ac:dyDescent="0.2">
      <c r="B392" s="22"/>
      <c r="D392" s="11" t="s">
        <v>365</v>
      </c>
      <c r="E392" s="11">
        <v>31</v>
      </c>
      <c r="F392" s="337">
        <v>173800</v>
      </c>
      <c r="G392" s="339"/>
      <c r="H392" s="11"/>
      <c r="I392" s="337">
        <v>173907</v>
      </c>
      <c r="J392" s="338"/>
      <c r="K392" s="13" t="s">
        <v>25</v>
      </c>
      <c r="L392" s="11"/>
      <c r="M392" s="11"/>
      <c r="N392" s="11"/>
      <c r="O392" s="35">
        <f>(I392-F392)/5280</f>
        <v>2.0265151515151514E-2</v>
      </c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2:35" ht="12.75" customHeight="1" x14ac:dyDescent="0.2">
      <c r="B393" s="22"/>
      <c r="D393" s="11" t="s">
        <v>656</v>
      </c>
      <c r="E393" s="11">
        <v>31</v>
      </c>
      <c r="F393" s="337">
        <v>173800</v>
      </c>
      <c r="G393" s="339"/>
      <c r="H393" s="11"/>
      <c r="I393" s="337">
        <v>173907</v>
      </c>
      <c r="J393" s="338"/>
      <c r="K393" s="13" t="s">
        <v>25</v>
      </c>
      <c r="L393" s="53">
        <f>ROUNDUP((I393-F393)/40,0)</f>
        <v>3</v>
      </c>
      <c r="M393" s="11"/>
      <c r="N393" s="11"/>
      <c r="O393" s="35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2:35" ht="12.75" customHeight="1" x14ac:dyDescent="0.2">
      <c r="B394" s="22"/>
      <c r="D394" s="11" t="s">
        <v>366</v>
      </c>
      <c r="E394" s="11">
        <v>31</v>
      </c>
      <c r="F394" s="343">
        <v>173907</v>
      </c>
      <c r="G394" s="343"/>
      <c r="H394" s="13"/>
      <c r="I394" s="337">
        <v>174300</v>
      </c>
      <c r="J394" s="338"/>
      <c r="K394" s="13" t="s">
        <v>24</v>
      </c>
      <c r="L394" s="11"/>
      <c r="M394" s="11"/>
      <c r="N394" s="11"/>
      <c r="O394" s="11"/>
      <c r="P394" s="35">
        <f>(I394-F394)/5280</f>
        <v>7.4431818181818182E-2</v>
      </c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2:35" ht="12.75" customHeight="1" x14ac:dyDescent="0.2">
      <c r="B395" s="22"/>
      <c r="D395" s="11" t="s">
        <v>657</v>
      </c>
      <c r="E395" s="11">
        <v>31</v>
      </c>
      <c r="F395" s="343">
        <v>173907</v>
      </c>
      <c r="G395" s="343"/>
      <c r="H395" s="13"/>
      <c r="I395" s="337">
        <v>174300</v>
      </c>
      <c r="J395" s="338"/>
      <c r="K395" s="13" t="s">
        <v>24</v>
      </c>
      <c r="L395" s="53">
        <f>ROUNDUP((I395-F395)/80,0)</f>
        <v>5</v>
      </c>
      <c r="M395" s="11"/>
      <c r="N395" s="11"/>
      <c r="O395" s="11"/>
      <c r="P395" s="35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2:35" ht="12.75" customHeight="1" x14ac:dyDescent="0.2">
      <c r="B396" s="22"/>
      <c r="D396" s="11" t="s">
        <v>367</v>
      </c>
      <c r="E396" s="11">
        <v>31</v>
      </c>
      <c r="F396" s="343">
        <v>173907</v>
      </c>
      <c r="G396" s="343"/>
      <c r="H396" s="13"/>
      <c r="I396" s="337">
        <v>174300</v>
      </c>
      <c r="J396" s="338"/>
      <c r="K396" s="13" t="s">
        <v>25</v>
      </c>
      <c r="L396" s="11"/>
      <c r="M396" s="11"/>
      <c r="N396" s="11"/>
      <c r="O396" s="11"/>
      <c r="P396" s="35">
        <f>(I396-F396)/5280</f>
        <v>7.4431818181818182E-2</v>
      </c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2:35" ht="12.75" customHeight="1" x14ac:dyDescent="0.2">
      <c r="B397" s="22"/>
      <c r="D397" s="11" t="s">
        <v>658</v>
      </c>
      <c r="E397" s="11">
        <v>31</v>
      </c>
      <c r="F397" s="343">
        <v>173907</v>
      </c>
      <c r="G397" s="343"/>
      <c r="H397" s="13"/>
      <c r="I397" s="337">
        <v>174300</v>
      </c>
      <c r="J397" s="338"/>
      <c r="K397" s="13" t="s">
        <v>25</v>
      </c>
      <c r="L397" s="53">
        <f>ROUNDUP((I397-F397)/80,0)</f>
        <v>5</v>
      </c>
      <c r="M397" s="11"/>
      <c r="N397" s="11"/>
      <c r="O397" s="11"/>
      <c r="P397" s="35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2:35" ht="12.75" customHeight="1" x14ac:dyDescent="0.2">
      <c r="B398" s="22"/>
      <c r="D398" s="11" t="s">
        <v>368</v>
      </c>
      <c r="E398" s="11">
        <v>31</v>
      </c>
      <c r="F398" s="337">
        <v>173800</v>
      </c>
      <c r="G398" s="339"/>
      <c r="H398" s="11"/>
      <c r="I398" s="337">
        <v>173989</v>
      </c>
      <c r="J398" s="338"/>
      <c r="K398" s="13" t="s">
        <v>25</v>
      </c>
      <c r="L398" s="11"/>
      <c r="M398" s="11"/>
      <c r="N398" s="11"/>
      <c r="O398" s="11"/>
      <c r="P398" s="11"/>
      <c r="Q398" s="11">
        <f>59+59+77</f>
        <v>195</v>
      </c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2:35" ht="12.75" customHeight="1" x14ac:dyDescent="0.2">
      <c r="B399" s="22"/>
      <c r="D399" s="11" t="s">
        <v>659</v>
      </c>
      <c r="E399" s="11">
        <v>31</v>
      </c>
      <c r="F399" s="337">
        <v>173800</v>
      </c>
      <c r="G399" s="339"/>
      <c r="H399" s="11"/>
      <c r="I399" s="337">
        <v>173989</v>
      </c>
      <c r="J399" s="338"/>
      <c r="K399" s="13" t="s">
        <v>25</v>
      </c>
      <c r="L399" s="53">
        <f>ROUNDUP((I399-F399)/40,0)</f>
        <v>5</v>
      </c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2:35" ht="12.75" customHeight="1" x14ac:dyDescent="0.2">
      <c r="B400" s="22"/>
      <c r="D400" s="11" t="s">
        <v>369</v>
      </c>
      <c r="E400" s="11">
        <v>31</v>
      </c>
      <c r="F400" s="337">
        <v>173800</v>
      </c>
      <c r="G400" s="339"/>
      <c r="H400" s="11"/>
      <c r="I400" s="337">
        <v>174102</v>
      </c>
      <c r="J400" s="338"/>
      <c r="K400" s="13" t="s">
        <v>25</v>
      </c>
      <c r="L400" s="11"/>
      <c r="M400" s="11"/>
      <c r="N400" s="11"/>
      <c r="O400" s="11"/>
      <c r="P400" s="11"/>
      <c r="Q400" s="11">
        <f>59+59+77+114</f>
        <v>309</v>
      </c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2:35" ht="12.75" customHeight="1" x14ac:dyDescent="0.2">
      <c r="B401" s="22"/>
      <c r="D401" s="11" t="s">
        <v>660</v>
      </c>
      <c r="E401" s="11">
        <v>31</v>
      </c>
      <c r="F401" s="337">
        <v>173800</v>
      </c>
      <c r="G401" s="339"/>
      <c r="H401" s="11"/>
      <c r="I401" s="337">
        <v>174102</v>
      </c>
      <c r="J401" s="338"/>
      <c r="K401" s="13" t="s">
        <v>25</v>
      </c>
      <c r="L401" s="53">
        <f>ROUNDUP((I401-F401)/40,0)</f>
        <v>8</v>
      </c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2:35" ht="12.75" customHeight="1" x14ac:dyDescent="0.2">
      <c r="B402" s="22"/>
      <c r="D402" s="11" t="s">
        <v>370</v>
      </c>
      <c r="E402" s="11">
        <v>31</v>
      </c>
      <c r="F402" s="337">
        <v>173846</v>
      </c>
      <c r="G402" s="339"/>
      <c r="H402" s="11"/>
      <c r="I402" s="344"/>
      <c r="J402" s="345"/>
      <c r="K402" s="13" t="s">
        <v>25</v>
      </c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>
        <v>1</v>
      </c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2:35" ht="12.75" customHeight="1" x14ac:dyDescent="0.2">
      <c r="B403" s="22"/>
      <c r="D403" s="11" t="s">
        <v>371</v>
      </c>
      <c r="E403" s="11">
        <v>31</v>
      </c>
      <c r="F403" s="337">
        <v>173846</v>
      </c>
      <c r="G403" s="339"/>
      <c r="H403" s="11"/>
      <c r="I403" s="344"/>
      <c r="J403" s="345"/>
      <c r="K403" s="13" t="s">
        <v>25</v>
      </c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>
        <v>1</v>
      </c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2:35" ht="12.75" customHeight="1" x14ac:dyDescent="0.2">
      <c r="B404" s="22"/>
      <c r="D404" s="11" t="s">
        <v>372</v>
      </c>
      <c r="E404" s="11">
        <v>31</v>
      </c>
      <c r="F404" s="337">
        <v>173913</v>
      </c>
      <c r="G404" s="339"/>
      <c r="H404" s="11"/>
      <c r="I404" s="344"/>
      <c r="J404" s="345"/>
      <c r="K404" s="13" t="s">
        <v>25</v>
      </c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>
        <v>1</v>
      </c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2:35" ht="12.75" customHeight="1" x14ac:dyDescent="0.2">
      <c r="B405" s="22"/>
      <c r="D405" s="11" t="s">
        <v>373</v>
      </c>
      <c r="E405" s="11">
        <v>31</v>
      </c>
      <c r="F405" s="337">
        <v>173913</v>
      </c>
      <c r="G405" s="339"/>
      <c r="H405" s="11"/>
      <c r="I405" s="344"/>
      <c r="J405" s="345"/>
      <c r="K405" s="13" t="s">
        <v>25</v>
      </c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>
        <v>1</v>
      </c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2:35" ht="12.75" customHeight="1" x14ac:dyDescent="0.2">
      <c r="B406" s="22"/>
      <c r="D406" s="11" t="s">
        <v>374</v>
      </c>
      <c r="E406" s="11">
        <v>31</v>
      </c>
      <c r="F406" s="337">
        <v>173979</v>
      </c>
      <c r="G406" s="339"/>
      <c r="H406" s="11"/>
      <c r="I406" s="344"/>
      <c r="J406" s="345"/>
      <c r="K406" s="13" t="s">
        <v>25</v>
      </c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>
        <v>1</v>
      </c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2:35" ht="12.75" customHeight="1" x14ac:dyDescent="0.2">
      <c r="B407" s="22"/>
      <c r="D407" s="11" t="s">
        <v>375</v>
      </c>
      <c r="E407" s="11">
        <v>31</v>
      </c>
      <c r="F407" s="337">
        <v>173979</v>
      </c>
      <c r="G407" s="339"/>
      <c r="H407" s="11"/>
      <c r="I407" s="344"/>
      <c r="J407" s="345"/>
      <c r="K407" s="13" t="s">
        <v>25</v>
      </c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>
        <v>1</v>
      </c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2:35" ht="12.75" customHeight="1" x14ac:dyDescent="0.2">
      <c r="B408" s="22"/>
      <c r="D408" s="11" t="s">
        <v>376</v>
      </c>
      <c r="E408" s="11">
        <v>31</v>
      </c>
      <c r="F408" s="337">
        <v>174045</v>
      </c>
      <c r="G408" s="339"/>
      <c r="H408" s="11"/>
      <c r="I408" s="344"/>
      <c r="J408" s="345"/>
      <c r="K408" s="13" t="s">
        <v>25</v>
      </c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>
        <v>1</v>
      </c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2:35" ht="12.75" customHeight="1" x14ac:dyDescent="0.2">
      <c r="B409" s="22"/>
      <c r="D409" s="11" t="s">
        <v>377</v>
      </c>
      <c r="E409" s="11">
        <v>31</v>
      </c>
      <c r="F409" s="337">
        <v>174045</v>
      </c>
      <c r="G409" s="339"/>
      <c r="H409" s="11"/>
      <c r="I409" s="344"/>
      <c r="J409" s="345"/>
      <c r="K409" s="13" t="s">
        <v>25</v>
      </c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>
        <v>1</v>
      </c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2:35" ht="12.75" customHeight="1" x14ac:dyDescent="0.2">
      <c r="B410" s="22"/>
      <c r="D410" s="11" t="s">
        <v>378</v>
      </c>
      <c r="E410" s="11">
        <v>31</v>
      </c>
      <c r="F410" s="337">
        <v>174000</v>
      </c>
      <c r="G410" s="339"/>
      <c r="H410" s="11"/>
      <c r="I410" s="344"/>
      <c r="J410" s="345"/>
      <c r="K410" s="13" t="s">
        <v>35</v>
      </c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>
        <v>1</v>
      </c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2:35" ht="12.75" customHeight="1" x14ac:dyDescent="0.2">
      <c r="B411" s="22"/>
      <c r="D411" s="11" t="s">
        <v>381</v>
      </c>
      <c r="E411" s="11">
        <v>31</v>
      </c>
      <c r="F411" s="337">
        <v>173800</v>
      </c>
      <c r="G411" s="339"/>
      <c r="H411" s="11"/>
      <c r="I411" s="337">
        <v>174102</v>
      </c>
      <c r="J411" s="338"/>
      <c r="K411" s="13" t="s">
        <v>25</v>
      </c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>
        <f>2*(3.5+4+3+3+2.5+2+1.5+1)</f>
        <v>41</v>
      </c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2:35" ht="12.75" customHeight="1" x14ac:dyDescent="0.2">
      <c r="B412" s="22"/>
      <c r="D412" s="11" t="s">
        <v>382</v>
      </c>
      <c r="E412" s="11">
        <v>32</v>
      </c>
      <c r="F412" s="343">
        <v>174300</v>
      </c>
      <c r="G412" s="343"/>
      <c r="H412" s="11"/>
      <c r="I412" s="343">
        <v>174550</v>
      </c>
      <c r="J412" s="343"/>
      <c r="K412" s="11" t="s">
        <v>24</v>
      </c>
      <c r="L412" s="11"/>
      <c r="M412" s="11"/>
      <c r="N412" s="35">
        <f>(I412-F412)/5280</f>
        <v>4.7348484848484848E-2</v>
      </c>
      <c r="O412" s="11"/>
      <c r="P412" s="35"/>
      <c r="Q412" s="32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2:35" ht="12.75" customHeight="1" x14ac:dyDescent="0.2">
      <c r="B413" s="22"/>
      <c r="D413" s="11" t="s">
        <v>383</v>
      </c>
      <c r="E413" s="11">
        <v>32</v>
      </c>
      <c r="F413" s="343">
        <v>174300</v>
      </c>
      <c r="G413" s="343"/>
      <c r="H413" s="11"/>
      <c r="I413" s="343">
        <v>174550</v>
      </c>
      <c r="J413" s="343"/>
      <c r="K413" s="41" t="s">
        <v>25</v>
      </c>
      <c r="L413" s="11"/>
      <c r="M413" s="11"/>
      <c r="N413" s="35">
        <f>(I413-F413)/5280</f>
        <v>4.7348484848484848E-2</v>
      </c>
      <c r="O413" s="11"/>
      <c r="P413" s="11"/>
      <c r="Q413" s="32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2:35" ht="12.75" customHeight="1" x14ac:dyDescent="0.2">
      <c r="B414" s="22"/>
      <c r="D414" s="11" t="s">
        <v>384</v>
      </c>
      <c r="E414" s="40">
        <v>32</v>
      </c>
      <c r="F414" s="346">
        <v>174300</v>
      </c>
      <c r="G414" s="347"/>
      <c r="H414" s="40"/>
      <c r="I414" s="346">
        <v>174550</v>
      </c>
      <c r="J414" s="348"/>
      <c r="K414" s="41" t="s">
        <v>24</v>
      </c>
      <c r="L414" s="40"/>
      <c r="M414" s="40"/>
      <c r="N414" s="40"/>
      <c r="O414" s="40"/>
      <c r="P414" s="35">
        <f>(I414-F414)/5280</f>
        <v>4.7348484848484848E-2</v>
      </c>
      <c r="Q414" s="42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2:35" ht="12.75" customHeight="1" x14ac:dyDescent="0.2">
      <c r="B415" s="22"/>
      <c r="D415" s="11" t="s">
        <v>661</v>
      </c>
      <c r="E415" s="40">
        <v>32</v>
      </c>
      <c r="F415" s="346">
        <v>174300</v>
      </c>
      <c r="G415" s="347"/>
      <c r="H415" s="40"/>
      <c r="I415" s="346">
        <v>174550</v>
      </c>
      <c r="J415" s="348"/>
      <c r="K415" s="41" t="s">
        <v>24</v>
      </c>
      <c r="L415" s="53">
        <f>ROUNDUP((I415-F415)/80,0)</f>
        <v>4</v>
      </c>
      <c r="M415" s="40"/>
      <c r="N415" s="40"/>
      <c r="O415" s="40"/>
      <c r="P415" s="35"/>
      <c r="Q415" s="42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2:35" ht="12.75" customHeight="1" x14ac:dyDescent="0.2">
      <c r="B416" s="22"/>
      <c r="D416" s="11" t="s">
        <v>385</v>
      </c>
      <c r="E416" s="11">
        <v>32</v>
      </c>
      <c r="F416" s="337">
        <v>174300</v>
      </c>
      <c r="G416" s="339"/>
      <c r="H416" s="11"/>
      <c r="I416" s="337">
        <v>174550</v>
      </c>
      <c r="J416" s="338"/>
      <c r="K416" s="13" t="s">
        <v>25</v>
      </c>
      <c r="L416" s="11"/>
      <c r="M416" s="11"/>
      <c r="N416" s="11"/>
      <c r="O416" s="11"/>
      <c r="P416" s="35">
        <f>(I416-F416)/5280</f>
        <v>4.7348484848484848E-2</v>
      </c>
      <c r="Q416" s="32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2:35" ht="12.75" customHeight="1" x14ac:dyDescent="0.2">
      <c r="B417" s="22"/>
      <c r="D417" s="11" t="s">
        <v>662</v>
      </c>
      <c r="E417" s="11">
        <v>32</v>
      </c>
      <c r="F417" s="337">
        <v>174300</v>
      </c>
      <c r="G417" s="339"/>
      <c r="H417" s="11"/>
      <c r="I417" s="337">
        <v>174550</v>
      </c>
      <c r="J417" s="338"/>
      <c r="K417" s="13" t="s">
        <v>25</v>
      </c>
      <c r="L417" s="53">
        <f>ROUNDUP((I417-F417)/80,0)</f>
        <v>4</v>
      </c>
      <c r="M417" s="11"/>
      <c r="N417" s="11"/>
      <c r="O417" s="11"/>
      <c r="P417" s="35"/>
      <c r="Q417" s="32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2:35" ht="12.75" customHeight="1" x14ac:dyDescent="0.2">
      <c r="B418" s="22"/>
      <c r="D418" s="11" t="s">
        <v>386</v>
      </c>
      <c r="E418" s="11">
        <v>33</v>
      </c>
      <c r="F418" s="337">
        <v>4866</v>
      </c>
      <c r="G418" s="339"/>
      <c r="H418" s="11"/>
      <c r="I418" s="337">
        <v>5100</v>
      </c>
      <c r="J418" s="338"/>
      <c r="K418" s="13" t="s">
        <v>24</v>
      </c>
      <c r="L418" s="11"/>
      <c r="M418" s="11"/>
      <c r="N418" s="35">
        <f>(I418-F418)/5280</f>
        <v>4.4318181818181819E-2</v>
      </c>
      <c r="O418" s="11"/>
      <c r="P418" s="11"/>
      <c r="Q418" s="32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2:35" ht="12.75" customHeight="1" thickBot="1" x14ac:dyDescent="0.25">
      <c r="B419" s="23"/>
      <c r="D419" s="11" t="s">
        <v>387</v>
      </c>
      <c r="E419" s="11">
        <v>33</v>
      </c>
      <c r="F419" s="337">
        <v>4866</v>
      </c>
      <c r="G419" s="339"/>
      <c r="H419" s="11"/>
      <c r="I419" s="337">
        <v>5100</v>
      </c>
      <c r="J419" s="338"/>
      <c r="K419" s="13" t="s">
        <v>25</v>
      </c>
      <c r="L419" s="11"/>
      <c r="M419" s="11"/>
      <c r="N419" s="35">
        <f>(I419-F419)/5280</f>
        <v>4.4318181818181819E-2</v>
      </c>
      <c r="O419" s="11"/>
      <c r="P419" s="11"/>
      <c r="Q419" s="32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2:35" ht="12.75" customHeight="1" x14ac:dyDescent="0.2">
      <c r="B420" s="5" t="s">
        <v>11</v>
      </c>
      <c r="D420" s="351" t="s">
        <v>2</v>
      </c>
      <c r="E420" s="352"/>
      <c r="F420" s="352"/>
      <c r="G420" s="352"/>
      <c r="H420" s="352"/>
      <c r="I420" s="352"/>
      <c r="J420" s="353"/>
      <c r="K420" s="14" t="str">
        <f t="shared" ref="K420:AI420" si="17">IF(K334="","",IF(OR(K349="", K349="LS", K349="LUMP"),IF(SUM(COUNTIF(K350:K419,"LS")+COUNTIF(K350:K419,"LUMP"))&gt;0,"LS",""),IF(SUM(K350:K419)&gt;0,ROUNDUP(SUM(K350:K419),0),"")))</f>
        <v/>
      </c>
      <c r="L420" s="14" t="str">
        <f t="shared" si="17"/>
        <v/>
      </c>
      <c r="M420" s="14" t="str">
        <f t="shared" si="17"/>
        <v/>
      </c>
      <c r="N420" s="14">
        <f t="shared" si="17"/>
        <v>1</v>
      </c>
      <c r="O420" s="14">
        <f t="shared" si="17"/>
        <v>1</v>
      </c>
      <c r="P420" s="14">
        <f t="shared" si="17"/>
        <v>1</v>
      </c>
      <c r="Q420" s="14">
        <f t="shared" si="17"/>
        <v>694</v>
      </c>
      <c r="R420" s="14" t="str">
        <f t="shared" si="17"/>
        <v/>
      </c>
      <c r="S420" s="14">
        <f t="shared" si="17"/>
        <v>80</v>
      </c>
      <c r="T420" s="14">
        <f t="shared" si="17"/>
        <v>9</v>
      </c>
      <c r="U420" s="14">
        <f t="shared" si="17"/>
        <v>1</v>
      </c>
      <c r="V420" s="14">
        <f t="shared" si="17"/>
        <v>22</v>
      </c>
      <c r="W420" s="14">
        <f t="shared" si="17"/>
        <v>1</v>
      </c>
      <c r="X420" s="14">
        <f t="shared" si="17"/>
        <v>386</v>
      </c>
      <c r="Y420" s="14">
        <f t="shared" si="17"/>
        <v>92</v>
      </c>
      <c r="Z420" s="14">
        <f t="shared" si="17"/>
        <v>110</v>
      </c>
      <c r="AA420" s="14">
        <f t="shared" si="17"/>
        <v>2</v>
      </c>
      <c r="AB420" s="14" t="str">
        <f t="shared" si="17"/>
        <v/>
      </c>
      <c r="AC420" s="14" t="str">
        <f t="shared" si="17"/>
        <v/>
      </c>
      <c r="AD420" s="14" t="str">
        <f t="shared" si="17"/>
        <v/>
      </c>
      <c r="AE420" s="14" t="str">
        <f t="shared" si="17"/>
        <v/>
      </c>
      <c r="AF420" s="14" t="str">
        <f t="shared" si="17"/>
        <v/>
      </c>
      <c r="AG420" s="14" t="str">
        <f t="shared" si="17"/>
        <v/>
      </c>
      <c r="AH420" s="14" t="str">
        <f t="shared" si="17"/>
        <v/>
      </c>
      <c r="AI420" s="14" t="str">
        <f t="shared" si="17"/>
        <v/>
      </c>
    </row>
    <row r="421" spans="2:35" ht="12.75" customHeight="1" thickBot="1" x14ac:dyDescent="0.25"/>
    <row r="422" spans="2:35" ht="12.75" customHeight="1" thickBot="1" x14ac:dyDescent="0.25">
      <c r="B422" s="20" t="s">
        <v>9</v>
      </c>
      <c r="D422" s="295" t="str">
        <f>"SUBSUMMARY SHEET " &amp; B423</f>
        <v xml:space="preserve">SUBSUMMARY SHEET </v>
      </c>
      <c r="E422" s="295"/>
      <c r="F422" s="295"/>
      <c r="G422" s="295"/>
      <c r="H422" s="295"/>
      <c r="I422" s="295"/>
      <c r="J422" s="295"/>
      <c r="K422" s="295"/>
      <c r="L422" s="295"/>
      <c r="M422" s="295"/>
      <c r="N422" s="295"/>
      <c r="O422" s="295"/>
      <c r="P422" s="295"/>
      <c r="Q422" s="295"/>
      <c r="R422" s="295"/>
      <c r="S422" s="295"/>
      <c r="T422" s="295"/>
      <c r="U422" s="295"/>
      <c r="V422" s="295"/>
      <c r="W422" s="295"/>
      <c r="X422" s="295"/>
      <c r="Y422" s="295"/>
      <c r="Z422" s="295"/>
      <c r="AA422" s="295"/>
      <c r="AB422" s="295"/>
      <c r="AC422" s="295"/>
      <c r="AD422" s="295"/>
      <c r="AE422" s="295"/>
      <c r="AF422" s="295"/>
      <c r="AG422" s="295"/>
      <c r="AH422" s="295"/>
      <c r="AI422" s="295"/>
    </row>
    <row r="423" spans="2:35" ht="12.75" customHeight="1" thickBot="1" x14ac:dyDescent="0.25">
      <c r="B423" s="24"/>
      <c r="D423" s="309" t="s">
        <v>7</v>
      </c>
      <c r="E423" s="309"/>
      <c r="F423" s="309"/>
      <c r="G423" s="309"/>
      <c r="H423" s="309"/>
      <c r="I423" s="309"/>
      <c r="J423" s="309"/>
      <c r="K423" s="19"/>
      <c r="L423" s="19"/>
      <c r="M423" s="19"/>
      <c r="N423" s="19" t="s">
        <v>36</v>
      </c>
      <c r="O423" s="19" t="s">
        <v>36</v>
      </c>
      <c r="P423" s="19" t="s">
        <v>39</v>
      </c>
      <c r="Q423" s="19" t="s">
        <v>40</v>
      </c>
      <c r="R423" s="19" t="s">
        <v>42</v>
      </c>
      <c r="S423" s="19" t="s">
        <v>44</v>
      </c>
      <c r="T423" s="19" t="s">
        <v>47</v>
      </c>
      <c r="U423" s="19" t="s">
        <v>49</v>
      </c>
      <c r="V423" s="19" t="s">
        <v>52</v>
      </c>
      <c r="W423" s="19" t="s">
        <v>53</v>
      </c>
      <c r="X423" s="19" t="s">
        <v>55</v>
      </c>
      <c r="Y423" s="19" t="s">
        <v>57</v>
      </c>
      <c r="Z423" s="19" t="s">
        <v>63</v>
      </c>
      <c r="AA423" s="19" t="s">
        <v>65</v>
      </c>
      <c r="AB423" s="19" t="s">
        <v>70</v>
      </c>
      <c r="AC423" s="19" t="s">
        <v>71</v>
      </c>
      <c r="AD423" s="19" t="s">
        <v>72</v>
      </c>
      <c r="AE423" s="19" t="s">
        <v>73</v>
      </c>
      <c r="AF423" s="19" t="s">
        <v>28</v>
      </c>
      <c r="AG423" s="19" t="s">
        <v>29</v>
      </c>
      <c r="AH423" s="19" t="s">
        <v>30</v>
      </c>
      <c r="AI423" s="19" t="s">
        <v>31</v>
      </c>
    </row>
    <row r="424" spans="2:35" ht="12.75" customHeight="1" thickBot="1" x14ac:dyDescent="0.25">
      <c r="D424" s="310" t="s">
        <v>8</v>
      </c>
      <c r="E424" s="310"/>
      <c r="F424" s="310"/>
      <c r="G424" s="310"/>
      <c r="H424" s="310"/>
      <c r="I424" s="310"/>
      <c r="J424" s="310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</row>
    <row r="425" spans="2:35" ht="12.75" customHeight="1" x14ac:dyDescent="0.2">
      <c r="B425" s="250" t="s">
        <v>10</v>
      </c>
      <c r="D425" s="360" t="s">
        <v>20</v>
      </c>
      <c r="E425" s="360" t="s">
        <v>21</v>
      </c>
      <c r="F425" s="363" t="s">
        <v>0</v>
      </c>
      <c r="G425" s="364"/>
      <c r="H425" s="364"/>
      <c r="I425" s="364"/>
      <c r="J425" s="365"/>
      <c r="K425" s="372" t="s">
        <v>23</v>
      </c>
      <c r="L425" s="7" t="str">
        <f>IF(OR(TRIM(L423)=0,TRIM(L423)=""),"",IF(IFERROR(TRIM(INDEX(QryItemNamed,MATCH(TRIM(L423),ITEM,0),2)),"")="Y","SPECIAL",LEFT(IFERROR(TRIM(INDEX(ITEM,MATCH(TRIM(L423),ITEM,0))),""),3)))</f>
        <v/>
      </c>
      <c r="M425" s="7" t="str">
        <f>IF(OR(TRIM(M423)=0,TRIM(M423)=""),"",IF(IFERROR(TRIM(INDEX(QryItemNamed,MATCH(TRIM(M423),ITEM,0),2)),"")="Y","SPECIAL",LEFT(IFERROR(TRIM(INDEX(ITEM,MATCH(TRIM(M423),ITEM,0))),""),3)))</f>
        <v/>
      </c>
      <c r="N425" s="7">
        <v>644</v>
      </c>
      <c r="O425" s="7">
        <v>644</v>
      </c>
      <c r="P425" s="7">
        <v>644</v>
      </c>
      <c r="Q425" s="7">
        <v>644</v>
      </c>
      <c r="R425" s="7">
        <v>644</v>
      </c>
      <c r="S425" s="7">
        <v>644</v>
      </c>
      <c r="T425" s="7">
        <v>644</v>
      </c>
      <c r="U425" s="7">
        <v>644</v>
      </c>
      <c r="V425" s="7">
        <v>644</v>
      </c>
      <c r="W425" s="7">
        <v>644</v>
      </c>
      <c r="X425" s="7">
        <v>644</v>
      </c>
      <c r="Y425" s="7">
        <v>644</v>
      </c>
      <c r="Z425" s="7">
        <v>644</v>
      </c>
      <c r="AA425" s="7">
        <v>644</v>
      </c>
      <c r="AB425" s="7">
        <v>618</v>
      </c>
      <c r="AC425" s="7">
        <v>618</v>
      </c>
      <c r="AD425" s="7">
        <v>618</v>
      </c>
      <c r="AE425" s="7">
        <v>618</v>
      </c>
      <c r="AF425" s="7" t="str">
        <f>IF(OR(TRIM(AF423)=0,TRIM(AF423)=""),"",IF(IFERROR(TRIM(INDEX(QryItemNamed,MATCH(TRIM(AF423),ITEM,0),2)),"")="Y","SPECIAL",LEFT(IFERROR(TRIM(INDEX(ITEM,MATCH(TRIM(AF423),ITEM,0))),""),3)))</f>
        <v>630</v>
      </c>
      <c r="AG425" s="7" t="str">
        <f>IF(OR(TRIM(AG423)=0,TRIM(AG423)=""),"",IF(IFERROR(TRIM(INDEX(QryItemNamed,MATCH(TRIM(AG423),ITEM,0),2)),"")="Y","SPECIAL",LEFT(IFERROR(TRIM(INDEX(ITEM,MATCH(TRIM(AG423),ITEM,0))),""),3)))</f>
        <v>630</v>
      </c>
      <c r="AH425" s="7" t="str">
        <f>IF(OR(TRIM(AH423)=0,TRIM(AH423)=""),"",IF(IFERROR(TRIM(INDEX(QryItemNamed,MATCH(TRIM(AH423),ITEM,0),2)),"")="Y","SPECIAL",LEFT(IFERROR(TRIM(INDEX(ITEM,MATCH(TRIM(AH423),ITEM,0))),""),3)))</f>
        <v>630</v>
      </c>
      <c r="AI425" s="7" t="str">
        <f>IF(OR(TRIM(AI423)=0,TRIM(AI423)=""),"",IF(IFERROR(TRIM(INDEX(QryItemNamed,MATCH(TRIM(AI423),ITEM,0),2)),"")="Y","SPECIAL",LEFT(IFERROR(TRIM(INDEX(ITEM,MATCH(TRIM(AI423),ITEM,0))),""),3)))</f>
        <v>630</v>
      </c>
    </row>
    <row r="426" spans="2:35" ht="12.75" customHeight="1" x14ac:dyDescent="0.2">
      <c r="B426" s="251"/>
      <c r="D426" s="361"/>
      <c r="E426" s="361"/>
      <c r="F426" s="366"/>
      <c r="G426" s="367"/>
      <c r="H426" s="367"/>
      <c r="I426" s="367"/>
      <c r="J426" s="368"/>
      <c r="K426" s="373"/>
      <c r="L426" s="375" t="str">
        <f>IF(OR(TRIM(L423)=0,TRIM(L423)=""),IF(L424="","",L424),IF(IFERROR(TRIM(INDEX(QryItemNamed,MATCH(TRIM(L423),ITEM,0),2)),"")="Y",TRIM(RIGHT(IFERROR(TRIM(INDEX(QryItemNamed,MATCH(TRIM(L423),ITEM,0),4)),"123456789012"),LEN(IFERROR(TRIM(INDEX(QryItemNamed,MATCH(TRIM(L423),ITEM,0),4)),"123456789012"))-9))&amp;L424,IFERROR(TRIM(INDEX(QryItemNamed,MATCH(TRIM(L423),ITEM,0),4))&amp;L424,"ITEM CODE DOES NOT EXIST IN ITEM MASTER")))</f>
        <v/>
      </c>
      <c r="M426" s="378" t="str">
        <f>IF(OR(TRIM(M423)=0,TRIM(M423)=""),IF(M424="","",M424),IF(IFERROR(TRIM(INDEX(QryItemNamed,MATCH(TRIM(M423),ITEM,0),2)),"")="Y",TRIM(RIGHT(IFERROR(TRIM(INDEX(QryItemNamed,MATCH(TRIM(M423),ITEM,0),4)),"123456789012"),LEN(IFERROR(TRIM(INDEX(QryItemNamed,MATCH(TRIM(M423),ITEM,0),4)),"123456789012"))-9))&amp;M424,IFERROR(TRIM(INDEX(QryItemNamed,MATCH(TRIM(M423),ITEM,0),4))&amp;M424,"ITEM CODE DOES NOT EXIST IN ITEM MASTER")))</f>
        <v/>
      </c>
      <c r="N426" s="381" t="s">
        <v>37</v>
      </c>
      <c r="O426" s="381" t="s">
        <v>38</v>
      </c>
      <c r="P426" s="381" t="s">
        <v>32</v>
      </c>
      <c r="Q426" s="381" t="s">
        <v>41</v>
      </c>
      <c r="R426" s="381" t="s">
        <v>43</v>
      </c>
      <c r="S426" s="381" t="s">
        <v>45</v>
      </c>
      <c r="T426" s="381" t="s">
        <v>48</v>
      </c>
      <c r="U426" s="381" t="s">
        <v>50</v>
      </c>
      <c r="V426" s="381" t="s">
        <v>59</v>
      </c>
      <c r="W426" s="381" t="s">
        <v>54</v>
      </c>
      <c r="X426" s="381" t="s">
        <v>56</v>
      </c>
      <c r="Y426" s="381" t="s">
        <v>58</v>
      </c>
      <c r="Z426" s="382" t="s">
        <v>64</v>
      </c>
      <c r="AA426" s="383" t="s">
        <v>66</v>
      </c>
      <c r="AB426" s="382" t="s">
        <v>74</v>
      </c>
      <c r="AC426" s="382" t="str">
        <f t="shared" ref="AC426:AI426" si="18">IF(OR(TRIM(AC423)=0,TRIM(AC423)=""),IF(AC424="","",AC424),IF(IFERROR(TRIM(INDEX(QryItemNamed,MATCH(TRIM(AC423),ITEM,0),2)),"")="Y",TRIM(RIGHT(IFERROR(TRIM(INDEX(QryItemNamed,MATCH(TRIM(AC423),ITEM,0),4)),"123456789012"),LEN(IFERROR(TRIM(INDEX(QryItemNamed,MATCH(TRIM(AC423),ITEM,0),4)),"123456789012"))-9))&amp;AC424,IFERROR(TRIM(INDEX(QryItemNamed,MATCH(TRIM(AC423),ITEM,0),4))&amp;AC424,"ITEM CODE DOES NOT EXIST IN ITEM MASTER")))</f>
        <v>RUMBLE STRIPES, EDGE LINE (CONCRETE)</v>
      </c>
      <c r="AD426" s="382" t="str">
        <f t="shared" si="18"/>
        <v>RUMBLE STRIPES, CENTER LINE (ASPHALT CONCRETE)</v>
      </c>
      <c r="AE426" s="382" t="str">
        <f t="shared" si="18"/>
        <v>RUMBLE STRIPES, CENTER LINE (CONCRETE)</v>
      </c>
      <c r="AF426" s="381" t="str">
        <f t="shared" si="18"/>
        <v>GROUND MOUNTED SUPPORT, NO. 3 POST</v>
      </c>
      <c r="AG426" s="381" t="str">
        <f t="shared" si="18"/>
        <v>SIGN, FLAT SHEET</v>
      </c>
      <c r="AH426" s="381" t="str">
        <f t="shared" si="18"/>
        <v>REMOVAL OF GROUND MOUNTED SIGN AND DISPOSAL</v>
      </c>
      <c r="AI426" s="381" t="str">
        <f t="shared" si="18"/>
        <v>REMOVAL OF GROUND MOUNTED POST SUPPORT AND DISPOSAL</v>
      </c>
    </row>
    <row r="427" spans="2:35" ht="12.75" customHeight="1" x14ac:dyDescent="0.2">
      <c r="B427" s="251"/>
      <c r="D427" s="361"/>
      <c r="E427" s="361"/>
      <c r="F427" s="366"/>
      <c r="G427" s="367"/>
      <c r="H427" s="367"/>
      <c r="I427" s="367"/>
      <c r="J427" s="368"/>
      <c r="K427" s="373"/>
      <c r="L427" s="376"/>
      <c r="M427" s="379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2"/>
      <c r="AA427" s="384"/>
      <c r="AB427" s="382"/>
      <c r="AC427" s="382"/>
      <c r="AD427" s="382"/>
      <c r="AE427" s="382"/>
      <c r="AF427" s="381"/>
      <c r="AG427" s="381"/>
      <c r="AH427" s="381"/>
      <c r="AI427" s="381"/>
    </row>
    <row r="428" spans="2:35" ht="12.75" customHeight="1" x14ac:dyDescent="0.2">
      <c r="B428" s="251"/>
      <c r="D428" s="361"/>
      <c r="E428" s="361"/>
      <c r="F428" s="366"/>
      <c r="G428" s="367"/>
      <c r="H428" s="367"/>
      <c r="I428" s="367"/>
      <c r="J428" s="368"/>
      <c r="K428" s="373"/>
      <c r="L428" s="376"/>
      <c r="M428" s="379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2"/>
      <c r="AA428" s="384"/>
      <c r="AB428" s="382"/>
      <c r="AC428" s="382"/>
      <c r="AD428" s="382"/>
      <c r="AE428" s="382"/>
      <c r="AF428" s="381"/>
      <c r="AG428" s="381"/>
      <c r="AH428" s="381"/>
      <c r="AI428" s="381"/>
    </row>
    <row r="429" spans="2:35" ht="12.75" customHeight="1" x14ac:dyDescent="0.2">
      <c r="B429" s="251"/>
      <c r="D429" s="361"/>
      <c r="E429" s="361"/>
      <c r="F429" s="366"/>
      <c r="G429" s="367"/>
      <c r="H429" s="367"/>
      <c r="I429" s="367"/>
      <c r="J429" s="368"/>
      <c r="K429" s="373"/>
      <c r="L429" s="376"/>
      <c r="M429" s="379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2"/>
      <c r="AA429" s="384"/>
      <c r="AB429" s="382"/>
      <c r="AC429" s="382"/>
      <c r="AD429" s="382"/>
      <c r="AE429" s="382"/>
      <c r="AF429" s="381"/>
      <c r="AG429" s="381"/>
      <c r="AH429" s="381"/>
      <c r="AI429" s="381"/>
    </row>
    <row r="430" spans="2:35" ht="12.75" customHeight="1" x14ac:dyDescent="0.2">
      <c r="B430" s="251"/>
      <c r="D430" s="361"/>
      <c r="E430" s="361"/>
      <c r="F430" s="366"/>
      <c r="G430" s="367"/>
      <c r="H430" s="367"/>
      <c r="I430" s="367"/>
      <c r="J430" s="368"/>
      <c r="K430" s="373"/>
      <c r="L430" s="376"/>
      <c r="M430" s="379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2"/>
      <c r="AA430" s="384"/>
      <c r="AB430" s="382"/>
      <c r="AC430" s="382"/>
      <c r="AD430" s="382"/>
      <c r="AE430" s="382"/>
      <c r="AF430" s="381"/>
      <c r="AG430" s="381"/>
      <c r="AH430" s="381"/>
      <c r="AI430" s="381"/>
    </row>
    <row r="431" spans="2:35" ht="12.75" customHeight="1" x14ac:dyDescent="0.2">
      <c r="B431" s="251"/>
      <c r="D431" s="361"/>
      <c r="E431" s="361"/>
      <c r="F431" s="366"/>
      <c r="G431" s="367"/>
      <c r="H431" s="367"/>
      <c r="I431" s="367"/>
      <c r="J431" s="368"/>
      <c r="K431" s="373"/>
      <c r="L431" s="376"/>
      <c r="M431" s="379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2"/>
      <c r="AA431" s="384"/>
      <c r="AB431" s="382"/>
      <c r="AC431" s="382"/>
      <c r="AD431" s="382"/>
      <c r="AE431" s="382"/>
      <c r="AF431" s="381"/>
      <c r="AG431" s="381"/>
      <c r="AH431" s="381"/>
      <c r="AI431" s="381"/>
    </row>
    <row r="432" spans="2:35" ht="12.75" customHeight="1" x14ac:dyDescent="0.2">
      <c r="B432" s="251"/>
      <c r="D432" s="361"/>
      <c r="E432" s="361"/>
      <c r="F432" s="366"/>
      <c r="G432" s="367"/>
      <c r="H432" s="367"/>
      <c r="I432" s="367"/>
      <c r="J432" s="368"/>
      <c r="K432" s="373"/>
      <c r="L432" s="376"/>
      <c r="M432" s="379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2"/>
      <c r="AA432" s="384"/>
      <c r="AB432" s="382"/>
      <c r="AC432" s="382"/>
      <c r="AD432" s="382"/>
      <c r="AE432" s="382"/>
      <c r="AF432" s="381"/>
      <c r="AG432" s="381"/>
      <c r="AH432" s="381"/>
      <c r="AI432" s="381"/>
    </row>
    <row r="433" spans="2:35" ht="12.75" customHeight="1" x14ac:dyDescent="0.2">
      <c r="B433" s="251"/>
      <c r="D433" s="361"/>
      <c r="E433" s="361"/>
      <c r="F433" s="366"/>
      <c r="G433" s="367"/>
      <c r="H433" s="367"/>
      <c r="I433" s="367"/>
      <c r="J433" s="368"/>
      <c r="K433" s="373"/>
      <c r="L433" s="376"/>
      <c r="M433" s="379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2"/>
      <c r="AA433" s="384"/>
      <c r="AB433" s="382"/>
      <c r="AC433" s="382"/>
      <c r="AD433" s="382"/>
      <c r="AE433" s="382"/>
      <c r="AF433" s="381"/>
      <c r="AG433" s="381"/>
      <c r="AH433" s="381"/>
      <c r="AI433" s="381"/>
    </row>
    <row r="434" spans="2:35" ht="12.75" customHeight="1" x14ac:dyDescent="0.2">
      <c r="B434" s="251"/>
      <c r="D434" s="361"/>
      <c r="E434" s="361"/>
      <c r="F434" s="366"/>
      <c r="G434" s="367"/>
      <c r="H434" s="367"/>
      <c r="I434" s="367"/>
      <c r="J434" s="368"/>
      <c r="K434" s="373"/>
      <c r="L434" s="376"/>
      <c r="M434" s="379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2"/>
      <c r="AA434" s="384"/>
      <c r="AB434" s="382"/>
      <c r="AC434" s="382"/>
      <c r="AD434" s="382"/>
      <c r="AE434" s="382"/>
      <c r="AF434" s="381"/>
      <c r="AG434" s="381"/>
      <c r="AH434" s="381"/>
      <c r="AI434" s="381"/>
    </row>
    <row r="435" spans="2:35" ht="12.75" customHeight="1" x14ac:dyDescent="0.2">
      <c r="B435" s="251"/>
      <c r="D435" s="361"/>
      <c r="E435" s="361"/>
      <c r="F435" s="366"/>
      <c r="G435" s="367"/>
      <c r="H435" s="367"/>
      <c r="I435" s="367"/>
      <c r="J435" s="368"/>
      <c r="K435" s="373"/>
      <c r="L435" s="376"/>
      <c r="M435" s="379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2"/>
      <c r="AA435" s="384"/>
      <c r="AB435" s="382"/>
      <c r="AC435" s="382"/>
      <c r="AD435" s="382"/>
      <c r="AE435" s="382"/>
      <c r="AF435" s="381"/>
      <c r="AG435" s="381"/>
      <c r="AH435" s="381"/>
      <c r="AI435" s="381"/>
    </row>
    <row r="436" spans="2:35" ht="12.75" customHeight="1" x14ac:dyDescent="0.2">
      <c r="B436" s="251"/>
      <c r="D436" s="361"/>
      <c r="E436" s="361"/>
      <c r="F436" s="366"/>
      <c r="G436" s="367"/>
      <c r="H436" s="367"/>
      <c r="I436" s="367"/>
      <c r="J436" s="368"/>
      <c r="K436" s="373"/>
      <c r="L436" s="376"/>
      <c r="M436" s="379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2"/>
      <c r="AA436" s="384"/>
      <c r="AB436" s="382"/>
      <c r="AC436" s="382"/>
      <c r="AD436" s="382"/>
      <c r="AE436" s="382"/>
      <c r="AF436" s="381"/>
      <c r="AG436" s="381"/>
      <c r="AH436" s="381"/>
      <c r="AI436" s="381"/>
    </row>
    <row r="437" spans="2:35" ht="12.75" customHeight="1" x14ac:dyDescent="0.2">
      <c r="B437" s="251"/>
      <c r="D437" s="361"/>
      <c r="E437" s="361"/>
      <c r="F437" s="366"/>
      <c r="G437" s="367"/>
      <c r="H437" s="367"/>
      <c r="I437" s="367"/>
      <c r="J437" s="368"/>
      <c r="K437" s="373"/>
      <c r="L437" s="377"/>
      <c r="M437" s="380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2"/>
      <c r="AA437" s="385"/>
      <c r="AB437" s="382"/>
      <c r="AC437" s="382"/>
      <c r="AD437" s="382"/>
      <c r="AE437" s="382"/>
      <c r="AF437" s="381"/>
      <c r="AG437" s="381"/>
      <c r="AH437" s="381"/>
      <c r="AI437" s="381"/>
    </row>
    <row r="438" spans="2:35" ht="12.75" customHeight="1" thickBot="1" x14ac:dyDescent="0.25">
      <c r="B438" s="252"/>
      <c r="D438" s="362"/>
      <c r="E438" s="362"/>
      <c r="F438" s="369"/>
      <c r="G438" s="370"/>
      <c r="H438" s="370"/>
      <c r="I438" s="370"/>
      <c r="J438" s="371"/>
      <c r="K438" s="374"/>
      <c r="L438" s="8" t="str">
        <f t="shared" ref="L438:Q438" si="19">IF(OR(TRIM(L423)=0,TRIM(L423)=""),"",IFERROR(TRIM(INDEX(QryItemNamed,MATCH(TRIM(L423),ITEM,0),3)),""))</f>
        <v/>
      </c>
      <c r="M438" s="8" t="str">
        <f t="shared" si="19"/>
        <v/>
      </c>
      <c r="N438" s="8" t="str">
        <f t="shared" si="19"/>
        <v>MILE</v>
      </c>
      <c r="O438" s="8" t="str">
        <f t="shared" si="19"/>
        <v>MILE</v>
      </c>
      <c r="P438" s="8" t="str">
        <f t="shared" si="19"/>
        <v>MILE</v>
      </c>
      <c r="Q438" s="8" t="str">
        <f t="shared" si="19"/>
        <v>FT</v>
      </c>
      <c r="R438" s="8" t="s">
        <v>46</v>
      </c>
      <c r="S438" s="8" t="s">
        <v>46</v>
      </c>
      <c r="T438" s="8" t="s">
        <v>46</v>
      </c>
      <c r="U438" s="8" t="s">
        <v>51</v>
      </c>
      <c r="V438" s="8" t="s">
        <v>51</v>
      </c>
      <c r="W438" s="8" t="s">
        <v>51</v>
      </c>
      <c r="X438" s="8" t="str">
        <f>IF(OR(TRIM(X423)=0,TRIM(X423)=""),"",IFERROR(TRIM(INDEX(QryItemNamed,MATCH(TRIM(X423),ITEM,0),3)),""))</f>
        <v>FT</v>
      </c>
      <c r="Y438" s="8" t="s">
        <v>46</v>
      </c>
      <c r="Z438" s="8" t="str">
        <f t="shared" ref="Z438:AI438" si="20">IF(OR(TRIM(Z423)=0,TRIM(Z423)=""),"",IFERROR(TRIM(INDEX(QryItemNamed,MATCH(TRIM(Z423),ITEM,0),3)),""))</f>
        <v>FT</v>
      </c>
      <c r="AA438" s="8" t="str">
        <f t="shared" si="20"/>
        <v>EACH</v>
      </c>
      <c r="AB438" s="8" t="str">
        <f t="shared" si="20"/>
        <v>MILE</v>
      </c>
      <c r="AC438" s="8" t="str">
        <f t="shared" si="20"/>
        <v>MILE</v>
      </c>
      <c r="AD438" s="8" t="str">
        <f t="shared" si="20"/>
        <v>MILE</v>
      </c>
      <c r="AE438" s="8" t="str">
        <f t="shared" si="20"/>
        <v>MILE</v>
      </c>
      <c r="AF438" s="8" t="str">
        <f t="shared" si="20"/>
        <v>FT</v>
      </c>
      <c r="AG438" s="8" t="str">
        <f t="shared" si="20"/>
        <v>SF</v>
      </c>
      <c r="AH438" s="8" t="str">
        <f t="shared" si="20"/>
        <v>EACH</v>
      </c>
      <c r="AI438" s="8" t="str">
        <f t="shared" si="20"/>
        <v>EACH</v>
      </c>
    </row>
    <row r="439" spans="2:35" ht="12.75" customHeight="1" x14ac:dyDescent="0.2">
      <c r="B439" s="21"/>
      <c r="D439" s="40" t="s">
        <v>388</v>
      </c>
      <c r="E439" s="11">
        <v>33</v>
      </c>
      <c r="F439" s="386">
        <v>5076</v>
      </c>
      <c r="G439" s="387"/>
      <c r="H439" s="44"/>
      <c r="I439" s="386">
        <v>5100</v>
      </c>
      <c r="J439" s="388"/>
      <c r="K439" s="13" t="s">
        <v>24</v>
      </c>
      <c r="L439" s="11"/>
      <c r="M439" s="11"/>
      <c r="N439" s="11"/>
      <c r="O439" s="35">
        <f>(I439-F439)/5280</f>
        <v>4.5454545454545452E-3</v>
      </c>
      <c r="P439" s="11"/>
      <c r="Q439" s="32"/>
      <c r="R439" s="11"/>
      <c r="S439" s="11"/>
      <c r="T439" s="11"/>
      <c r="U439" s="11"/>
      <c r="V439" s="11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spans="2:35" ht="12.75" customHeight="1" x14ac:dyDescent="0.2">
      <c r="B440" s="21"/>
      <c r="D440" s="40" t="s">
        <v>663</v>
      </c>
      <c r="E440" s="11">
        <v>33</v>
      </c>
      <c r="F440" s="343">
        <v>5076</v>
      </c>
      <c r="G440" s="343"/>
      <c r="H440" s="11"/>
      <c r="I440" s="337">
        <v>5100</v>
      </c>
      <c r="J440" s="338"/>
      <c r="K440" s="13" t="s">
        <v>24</v>
      </c>
      <c r="L440" s="53">
        <f>ROUNDUP((I440-F440)/80,0)</f>
        <v>1</v>
      </c>
      <c r="M440" s="11"/>
      <c r="N440" s="11"/>
      <c r="O440" s="35"/>
      <c r="P440" s="11"/>
      <c r="Q440" s="32"/>
      <c r="R440" s="11"/>
      <c r="S440" s="11"/>
      <c r="T440" s="11"/>
      <c r="U440" s="11"/>
      <c r="V440" s="11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</row>
    <row r="441" spans="2:35" ht="12.75" customHeight="1" x14ac:dyDescent="0.2">
      <c r="B441" s="22"/>
      <c r="D441" s="40" t="s">
        <v>389</v>
      </c>
      <c r="E441" s="11">
        <v>33</v>
      </c>
      <c r="F441" s="337">
        <v>5076</v>
      </c>
      <c r="G441" s="339"/>
      <c r="H441" s="11"/>
      <c r="I441" s="337">
        <v>5100</v>
      </c>
      <c r="J441" s="338"/>
      <c r="K441" s="13" t="s">
        <v>25</v>
      </c>
      <c r="L441" s="11"/>
      <c r="M441" s="11"/>
      <c r="N441" s="11"/>
      <c r="O441" s="35">
        <f>(I441-F441)/5280</f>
        <v>4.5454545454545452E-3</v>
      </c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2:35" ht="12.75" customHeight="1" x14ac:dyDescent="0.2">
      <c r="B442" s="22"/>
      <c r="D442" s="40" t="s">
        <v>664</v>
      </c>
      <c r="E442" s="11">
        <v>33</v>
      </c>
      <c r="F442" s="337">
        <v>5076</v>
      </c>
      <c r="G442" s="339"/>
      <c r="H442" s="11"/>
      <c r="I442" s="337">
        <v>5100</v>
      </c>
      <c r="J442" s="338"/>
      <c r="K442" s="13" t="s">
        <v>25</v>
      </c>
      <c r="L442" s="53">
        <f>ROUNDUP((I442-F442)/80,0)</f>
        <v>1</v>
      </c>
      <c r="M442" s="11"/>
      <c r="N442" s="11"/>
      <c r="O442" s="35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2:35" ht="12.75" customHeight="1" x14ac:dyDescent="0.2">
      <c r="B443" s="22"/>
      <c r="D443" s="40" t="s">
        <v>390</v>
      </c>
      <c r="E443" s="11">
        <v>33</v>
      </c>
      <c r="F443" s="337">
        <v>4866</v>
      </c>
      <c r="G443" s="339"/>
      <c r="H443" s="11"/>
      <c r="I443" s="337">
        <v>5076</v>
      </c>
      <c r="J443" s="338"/>
      <c r="K443" s="13" t="s">
        <v>67</v>
      </c>
      <c r="L443" s="11"/>
      <c r="M443" s="11"/>
      <c r="N443" s="11"/>
      <c r="O443" s="11"/>
      <c r="P443" s="35">
        <f>(I443-F443)/5280</f>
        <v>3.9772727272727272E-2</v>
      </c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2:35" ht="12.75" customHeight="1" x14ac:dyDescent="0.2">
      <c r="B444" s="22"/>
      <c r="D444" s="40" t="s">
        <v>665</v>
      </c>
      <c r="E444" s="11">
        <v>33</v>
      </c>
      <c r="F444" s="337">
        <v>4866</v>
      </c>
      <c r="G444" s="339"/>
      <c r="H444" s="11"/>
      <c r="I444" s="337">
        <v>5076</v>
      </c>
      <c r="J444" s="338"/>
      <c r="K444" s="13" t="s">
        <v>67</v>
      </c>
      <c r="L444" s="53">
        <f>ROUNDUP((I444-F444)/80,0)</f>
        <v>3</v>
      </c>
      <c r="M444" s="11"/>
      <c r="N444" s="11"/>
      <c r="O444" s="11"/>
      <c r="P444" s="35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2:35" ht="12.75" customHeight="1" x14ac:dyDescent="0.2">
      <c r="B445" s="22"/>
      <c r="D445" s="40" t="s">
        <v>391</v>
      </c>
      <c r="E445" s="11">
        <v>33</v>
      </c>
      <c r="F445" s="337">
        <v>4966</v>
      </c>
      <c r="G445" s="339"/>
      <c r="H445" s="11"/>
      <c r="I445" s="337">
        <v>5076</v>
      </c>
      <c r="J445" s="338"/>
      <c r="K445" s="13" t="s">
        <v>25</v>
      </c>
      <c r="L445" s="11"/>
      <c r="M445" s="11"/>
      <c r="N445" s="11"/>
      <c r="O445" s="11"/>
      <c r="P445" s="35">
        <f>(I445-F445)/5280</f>
        <v>2.0833333333333332E-2</v>
      </c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2:35" ht="12.75" customHeight="1" x14ac:dyDescent="0.2">
      <c r="B446" s="22"/>
      <c r="D446" s="40" t="s">
        <v>666</v>
      </c>
      <c r="E446" s="11">
        <v>33</v>
      </c>
      <c r="F446" s="337">
        <v>4966</v>
      </c>
      <c r="G446" s="339"/>
      <c r="H446" s="11"/>
      <c r="I446" s="337">
        <v>5076</v>
      </c>
      <c r="J446" s="338"/>
      <c r="K446" s="13" t="s">
        <v>25</v>
      </c>
      <c r="L446" s="53">
        <f>ROUNDUP((I446-F446)/80,0)</f>
        <v>2</v>
      </c>
      <c r="M446" s="11"/>
      <c r="N446" s="11"/>
      <c r="O446" s="11"/>
      <c r="P446" s="35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2:35" ht="12.75" customHeight="1" x14ac:dyDescent="0.2">
      <c r="B447" s="22"/>
      <c r="D447" s="11" t="s">
        <v>392</v>
      </c>
      <c r="E447" s="11">
        <v>33</v>
      </c>
      <c r="F447" s="337">
        <v>4866</v>
      </c>
      <c r="G447" s="339"/>
      <c r="H447" s="11"/>
      <c r="I447" s="344"/>
      <c r="J447" s="345"/>
      <c r="K447" s="13" t="s">
        <v>25</v>
      </c>
      <c r="L447" s="11"/>
      <c r="M447" s="11"/>
      <c r="N447" s="11"/>
      <c r="O447" s="11"/>
      <c r="P447" s="11"/>
      <c r="Q447" s="11"/>
      <c r="R447" s="11">
        <v>12</v>
      </c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2:35" ht="12.75" customHeight="1" x14ac:dyDescent="0.2">
      <c r="B448" s="22"/>
      <c r="D448" s="11" t="s">
        <v>393</v>
      </c>
      <c r="E448" s="11">
        <v>33</v>
      </c>
      <c r="F448" s="337">
        <v>4966</v>
      </c>
      <c r="G448" s="339"/>
      <c r="H448" s="11"/>
      <c r="I448" s="337">
        <v>5100</v>
      </c>
      <c r="J448" s="338"/>
      <c r="K448" s="13" t="s">
        <v>35</v>
      </c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2:35" ht="12.75" customHeight="1" x14ac:dyDescent="0.2">
      <c r="B449" s="22"/>
      <c r="D449" s="11" t="s">
        <v>394</v>
      </c>
      <c r="E449" s="11">
        <v>33</v>
      </c>
      <c r="F449" s="337">
        <v>5030</v>
      </c>
      <c r="G449" s="339"/>
      <c r="H449" s="11"/>
      <c r="I449" s="344"/>
      <c r="J449" s="345"/>
      <c r="K449" s="13" t="s">
        <v>25</v>
      </c>
      <c r="L449" s="11"/>
      <c r="M449" s="11"/>
      <c r="N449" s="11"/>
      <c r="O449" s="11"/>
      <c r="P449" s="11"/>
      <c r="Q449" s="11"/>
      <c r="R449" s="11"/>
      <c r="S449" s="11"/>
      <c r="T449" s="11"/>
      <c r="U449" s="11">
        <v>1</v>
      </c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2:35" ht="12.75" customHeight="1" x14ac:dyDescent="0.2">
      <c r="B450" s="22"/>
      <c r="D450" s="11" t="s">
        <v>395</v>
      </c>
      <c r="E450" s="11">
        <v>34</v>
      </c>
      <c r="F450" s="337">
        <v>160000</v>
      </c>
      <c r="G450" s="339"/>
      <c r="H450" s="11"/>
      <c r="I450" s="337">
        <v>160100</v>
      </c>
      <c r="J450" s="338"/>
      <c r="K450" s="13" t="s">
        <v>24</v>
      </c>
      <c r="L450" s="11"/>
      <c r="M450" s="11"/>
      <c r="N450" s="35">
        <f>(I450-F450)/5280</f>
        <v>1.893939393939394E-2</v>
      </c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2:35" ht="12.75" customHeight="1" x14ac:dyDescent="0.2">
      <c r="B451" s="22"/>
      <c r="D451" s="11" t="s">
        <v>396</v>
      </c>
      <c r="E451" s="11">
        <v>34</v>
      </c>
      <c r="F451" s="337">
        <v>160000</v>
      </c>
      <c r="G451" s="339"/>
      <c r="H451" s="11"/>
      <c r="I451" s="337">
        <v>160100</v>
      </c>
      <c r="J451" s="338"/>
      <c r="K451" s="13" t="s">
        <v>25</v>
      </c>
      <c r="L451" s="11"/>
      <c r="M451" s="11"/>
      <c r="N451" s="35">
        <f>(I451-F451)/5280</f>
        <v>1.893939393939394E-2</v>
      </c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2:35" ht="12.75" customHeight="1" x14ac:dyDescent="0.2">
      <c r="B452" s="22"/>
      <c r="D452" s="40" t="s">
        <v>397</v>
      </c>
      <c r="E452" s="11">
        <v>34</v>
      </c>
      <c r="F452" s="337">
        <v>160000</v>
      </c>
      <c r="G452" s="339"/>
      <c r="H452" s="11"/>
      <c r="I452" s="337">
        <v>160100</v>
      </c>
      <c r="J452" s="338"/>
      <c r="K452" s="13" t="s">
        <v>24</v>
      </c>
      <c r="L452" s="11"/>
      <c r="M452" s="11"/>
      <c r="N452" s="11"/>
      <c r="O452" s="11"/>
      <c r="P452" s="35">
        <f>(I452-F452)/5280</f>
        <v>1.893939393939394E-2</v>
      </c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2:35" ht="12.75" customHeight="1" x14ac:dyDescent="0.2">
      <c r="B453" s="22"/>
      <c r="D453" s="40" t="s">
        <v>667</v>
      </c>
      <c r="E453" s="11">
        <v>34</v>
      </c>
      <c r="F453" s="337">
        <v>160000</v>
      </c>
      <c r="G453" s="339"/>
      <c r="H453" s="11"/>
      <c r="I453" s="337">
        <v>160100</v>
      </c>
      <c r="J453" s="338"/>
      <c r="K453" s="13" t="s">
        <v>24</v>
      </c>
      <c r="L453" s="53">
        <f>ROUNDUP((I453-F453)/80,0)</f>
        <v>2</v>
      </c>
      <c r="M453" s="11"/>
      <c r="N453" s="11"/>
      <c r="O453" s="11"/>
      <c r="P453" s="35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2:35" ht="12.75" customHeight="1" x14ac:dyDescent="0.2">
      <c r="B454" s="22"/>
      <c r="D454" s="40" t="s">
        <v>398</v>
      </c>
      <c r="E454" s="11">
        <v>34</v>
      </c>
      <c r="F454" s="337">
        <v>160035</v>
      </c>
      <c r="G454" s="339"/>
      <c r="H454" s="11"/>
      <c r="I454" s="337">
        <v>160100</v>
      </c>
      <c r="J454" s="338"/>
      <c r="K454" s="13" t="s">
        <v>25</v>
      </c>
      <c r="L454" s="11"/>
      <c r="M454" s="11"/>
      <c r="N454" s="11"/>
      <c r="O454" s="11"/>
      <c r="P454" s="35">
        <f>(I454-F454)/5280</f>
        <v>1.231060606060606E-2</v>
      </c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2:35" ht="12.75" customHeight="1" x14ac:dyDescent="0.2">
      <c r="B455" s="22"/>
      <c r="D455" s="40" t="s">
        <v>668</v>
      </c>
      <c r="E455" s="11">
        <v>34</v>
      </c>
      <c r="F455" s="337">
        <v>160035</v>
      </c>
      <c r="G455" s="339"/>
      <c r="H455" s="11"/>
      <c r="I455" s="337">
        <v>160100</v>
      </c>
      <c r="J455" s="338"/>
      <c r="K455" s="13" t="s">
        <v>25</v>
      </c>
      <c r="L455" s="53">
        <f>ROUNDUP((I455-F455)/80,0)</f>
        <v>1</v>
      </c>
      <c r="M455" s="11"/>
      <c r="N455" s="11"/>
      <c r="O455" s="11"/>
      <c r="P455" s="35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2:35" ht="12.75" customHeight="1" x14ac:dyDescent="0.2">
      <c r="B456" s="22"/>
      <c r="D456" s="11" t="s">
        <v>399</v>
      </c>
      <c r="E456" s="11">
        <v>34</v>
      </c>
      <c r="F456" s="337">
        <v>160035</v>
      </c>
      <c r="G456" s="339"/>
      <c r="H456" s="11"/>
      <c r="I456" s="344"/>
      <c r="J456" s="345"/>
      <c r="K456" s="13" t="s">
        <v>25</v>
      </c>
      <c r="L456" s="11"/>
      <c r="M456" s="11"/>
      <c r="N456" s="11"/>
      <c r="O456" s="11"/>
      <c r="P456" s="11"/>
      <c r="Q456" s="11"/>
      <c r="R456" s="11">
        <v>12</v>
      </c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2:35" ht="12.75" customHeight="1" x14ac:dyDescent="0.2">
      <c r="B457" s="22"/>
      <c r="D457" s="11" t="s">
        <v>400</v>
      </c>
      <c r="E457" s="11">
        <v>34</v>
      </c>
      <c r="F457" s="337">
        <v>160035</v>
      </c>
      <c r="G457" s="339"/>
      <c r="H457" s="11"/>
      <c r="I457" s="337">
        <v>160100</v>
      </c>
      <c r="J457" s="338"/>
      <c r="K457" s="13" t="s">
        <v>35</v>
      </c>
      <c r="L457" s="11"/>
      <c r="M457" s="11"/>
      <c r="N457" s="11"/>
      <c r="O457" s="11"/>
      <c r="P457" s="11"/>
      <c r="Q457" s="11"/>
      <c r="R457" s="11"/>
      <c r="S457" s="11"/>
      <c r="T457" s="11">
        <f>2.5+5.5</f>
        <v>8</v>
      </c>
      <c r="U457" s="11"/>
      <c r="V457" s="11"/>
      <c r="W457" s="11"/>
      <c r="X457" s="32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2:35" ht="12.75" customHeight="1" x14ac:dyDescent="0.2">
      <c r="B458" s="22"/>
      <c r="D458" s="11" t="s">
        <v>68</v>
      </c>
      <c r="E458" s="11">
        <v>1</v>
      </c>
      <c r="F458" s="337">
        <v>59750</v>
      </c>
      <c r="G458" s="339"/>
      <c r="H458" s="11"/>
      <c r="I458" s="337">
        <v>65888</v>
      </c>
      <c r="J458" s="338"/>
      <c r="K458" s="13" t="s">
        <v>24</v>
      </c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35">
        <f t="shared" ref="AB458:AB467" si="21">(I458-F458)/5280</f>
        <v>1.1625000000000001</v>
      </c>
      <c r="AC458" s="11"/>
      <c r="AD458" s="11"/>
      <c r="AE458" s="11"/>
      <c r="AF458" s="11"/>
      <c r="AG458" s="11"/>
      <c r="AH458" s="11"/>
      <c r="AI458" s="11"/>
    </row>
    <row r="459" spans="2:35" ht="12.75" customHeight="1" x14ac:dyDescent="0.2">
      <c r="B459" s="22"/>
      <c r="D459" s="11" t="s">
        <v>75</v>
      </c>
      <c r="E459" s="11">
        <v>1</v>
      </c>
      <c r="F459" s="337">
        <v>59750</v>
      </c>
      <c r="G459" s="339"/>
      <c r="H459" s="11"/>
      <c r="I459" s="337">
        <v>65888</v>
      </c>
      <c r="J459" s="338"/>
      <c r="K459" s="13" t="s">
        <v>25</v>
      </c>
      <c r="L459" s="11"/>
      <c r="M459" s="11"/>
      <c r="N459" s="35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35">
        <f t="shared" si="21"/>
        <v>1.1625000000000001</v>
      </c>
      <c r="AC459" s="11"/>
      <c r="AD459" s="11"/>
      <c r="AE459" s="11"/>
      <c r="AF459" s="11"/>
      <c r="AG459" s="11"/>
      <c r="AH459" s="11"/>
      <c r="AI459" s="11"/>
    </row>
    <row r="460" spans="2:35" ht="12.75" customHeight="1" x14ac:dyDescent="0.2">
      <c r="B460" s="22"/>
      <c r="D460" s="11" t="s">
        <v>79</v>
      </c>
      <c r="E460" s="11">
        <v>13</v>
      </c>
      <c r="F460" s="343">
        <v>65982</v>
      </c>
      <c r="G460" s="343"/>
      <c r="H460" s="13"/>
      <c r="I460" s="337">
        <v>68187</v>
      </c>
      <c r="J460" s="338"/>
      <c r="K460" s="13" t="s">
        <v>24</v>
      </c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35">
        <f t="shared" si="21"/>
        <v>0.41761363636363635</v>
      </c>
      <c r="AC460" s="11"/>
      <c r="AD460" s="35"/>
      <c r="AE460" s="11"/>
      <c r="AF460" s="11"/>
      <c r="AG460" s="11"/>
      <c r="AH460" s="11"/>
      <c r="AI460" s="11"/>
    </row>
    <row r="461" spans="2:35" ht="12.75" customHeight="1" x14ac:dyDescent="0.2">
      <c r="B461" s="22"/>
      <c r="D461" s="11" t="s">
        <v>80</v>
      </c>
      <c r="E461" s="11">
        <v>13</v>
      </c>
      <c r="F461" s="343">
        <v>65982</v>
      </c>
      <c r="G461" s="343"/>
      <c r="H461" s="13"/>
      <c r="I461" s="337">
        <v>68187</v>
      </c>
      <c r="J461" s="338"/>
      <c r="K461" s="13" t="s">
        <v>25</v>
      </c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35">
        <f t="shared" si="21"/>
        <v>0.41761363636363635</v>
      </c>
      <c r="AC461" s="11"/>
      <c r="AD461" s="35"/>
      <c r="AE461" s="11"/>
      <c r="AF461" s="11"/>
      <c r="AG461" s="11"/>
      <c r="AH461" s="11"/>
      <c r="AI461" s="11"/>
    </row>
    <row r="462" spans="2:35" ht="12.75" customHeight="1" x14ac:dyDescent="0.2">
      <c r="B462" s="22"/>
      <c r="D462" s="11" t="s">
        <v>84</v>
      </c>
      <c r="E462" s="11">
        <v>19</v>
      </c>
      <c r="F462" s="343">
        <v>68869</v>
      </c>
      <c r="G462" s="343"/>
      <c r="H462" s="13"/>
      <c r="I462" s="337">
        <v>72862</v>
      </c>
      <c r="J462" s="338"/>
      <c r="K462" s="13" t="s">
        <v>24</v>
      </c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32"/>
      <c r="Y462" s="11"/>
      <c r="Z462" s="11"/>
      <c r="AA462" s="11"/>
      <c r="AB462" s="35">
        <f t="shared" si="21"/>
        <v>0.75624999999999998</v>
      </c>
      <c r="AC462" s="35"/>
      <c r="AD462" s="11"/>
      <c r="AE462" s="11"/>
      <c r="AF462" s="11"/>
      <c r="AG462" s="11"/>
      <c r="AH462" s="11"/>
      <c r="AI462" s="11"/>
    </row>
    <row r="463" spans="2:35" ht="12.75" customHeight="1" x14ac:dyDescent="0.2">
      <c r="B463" s="22"/>
      <c r="D463" s="11" t="s">
        <v>85</v>
      </c>
      <c r="E463" s="11">
        <v>19</v>
      </c>
      <c r="F463" s="343">
        <v>68870</v>
      </c>
      <c r="G463" s="343"/>
      <c r="H463" s="13"/>
      <c r="I463" s="337">
        <v>72862</v>
      </c>
      <c r="J463" s="338"/>
      <c r="K463" s="13" t="s">
        <v>25</v>
      </c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32"/>
      <c r="Y463" s="11"/>
      <c r="Z463" s="11"/>
      <c r="AA463" s="11"/>
      <c r="AB463" s="35">
        <f t="shared" si="21"/>
        <v>0.7560606060606061</v>
      </c>
      <c r="AC463" s="35"/>
      <c r="AD463" s="11"/>
      <c r="AE463" s="11"/>
      <c r="AF463" s="11"/>
      <c r="AG463" s="11"/>
      <c r="AH463" s="11"/>
      <c r="AI463" s="11"/>
    </row>
    <row r="464" spans="2:35" ht="12.75" customHeight="1" x14ac:dyDescent="0.2">
      <c r="B464" s="22"/>
      <c r="D464" s="11" t="s">
        <v>90</v>
      </c>
      <c r="E464" s="11">
        <v>28</v>
      </c>
      <c r="F464" s="343">
        <v>172608</v>
      </c>
      <c r="G464" s="343"/>
      <c r="H464" s="13"/>
      <c r="I464" s="337">
        <v>173335</v>
      </c>
      <c r="J464" s="338"/>
      <c r="K464" s="13" t="s">
        <v>24</v>
      </c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35">
        <f t="shared" si="21"/>
        <v>0.13768939393939394</v>
      </c>
      <c r="AC464" s="11"/>
      <c r="AD464" s="11"/>
      <c r="AE464" s="11"/>
      <c r="AF464" s="11"/>
      <c r="AG464" s="11"/>
      <c r="AH464" s="11"/>
      <c r="AI464" s="11"/>
    </row>
    <row r="465" spans="2:35" ht="12.75" customHeight="1" x14ac:dyDescent="0.2">
      <c r="B465" s="22"/>
      <c r="D465" s="11" t="s">
        <v>91</v>
      </c>
      <c r="E465" s="11">
        <v>28</v>
      </c>
      <c r="F465" s="343">
        <v>172608</v>
      </c>
      <c r="G465" s="343"/>
      <c r="H465" s="13"/>
      <c r="I465" s="337">
        <v>173208</v>
      </c>
      <c r="J465" s="338"/>
      <c r="K465" s="13" t="s">
        <v>25</v>
      </c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35">
        <f t="shared" si="21"/>
        <v>0.11363636363636363</v>
      </c>
      <c r="AC465" s="11"/>
      <c r="AD465" s="11"/>
      <c r="AE465" s="11"/>
      <c r="AF465" s="11"/>
      <c r="AG465" s="11"/>
      <c r="AH465" s="11"/>
      <c r="AI465" s="11"/>
    </row>
    <row r="466" spans="2:35" ht="12.75" customHeight="1" x14ac:dyDescent="0.2">
      <c r="B466" s="22"/>
      <c r="D466" s="11" t="s">
        <v>94</v>
      </c>
      <c r="E466" s="11">
        <v>31</v>
      </c>
      <c r="F466" s="343">
        <v>174149</v>
      </c>
      <c r="G466" s="343"/>
      <c r="H466" s="13"/>
      <c r="I466" s="337">
        <v>174550</v>
      </c>
      <c r="J466" s="338"/>
      <c r="K466" s="13" t="s">
        <v>25</v>
      </c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35">
        <f t="shared" si="21"/>
        <v>7.5946969696969693E-2</v>
      </c>
      <c r="AC466" s="11"/>
      <c r="AD466" s="11"/>
      <c r="AE466" s="35"/>
      <c r="AF466" s="11"/>
      <c r="AG466" s="11"/>
      <c r="AH466" s="11"/>
      <c r="AI466" s="11"/>
    </row>
    <row r="467" spans="2:35" ht="12.75" customHeight="1" x14ac:dyDescent="0.2">
      <c r="B467" s="22"/>
      <c r="D467" s="11" t="s">
        <v>95</v>
      </c>
      <c r="E467" s="11">
        <v>31</v>
      </c>
      <c r="F467" s="343">
        <v>174149</v>
      </c>
      <c r="G467" s="343"/>
      <c r="H467" s="13"/>
      <c r="I467" s="337">
        <v>174550</v>
      </c>
      <c r="J467" s="338"/>
      <c r="K467" s="13" t="s">
        <v>24</v>
      </c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35">
        <f t="shared" si="21"/>
        <v>7.5946969696969693E-2</v>
      </c>
      <c r="AC467" s="11"/>
      <c r="AD467" s="35"/>
      <c r="AE467" s="35"/>
      <c r="AF467" s="11"/>
      <c r="AG467" s="11"/>
      <c r="AH467" s="11"/>
      <c r="AI467" s="11"/>
    </row>
    <row r="468" spans="2:35" ht="12.75" customHeight="1" x14ac:dyDescent="0.2">
      <c r="B468" s="22"/>
      <c r="D468" s="11" t="s">
        <v>78</v>
      </c>
      <c r="E468" s="11">
        <v>13</v>
      </c>
      <c r="F468" s="343">
        <v>65888</v>
      </c>
      <c r="G468" s="343"/>
      <c r="H468" s="13"/>
      <c r="I468" s="337">
        <v>65982</v>
      </c>
      <c r="J468" s="338"/>
      <c r="K468" s="13" t="s">
        <v>24</v>
      </c>
      <c r="L468" s="11"/>
      <c r="M468" s="11"/>
      <c r="N468" s="11"/>
      <c r="O468" s="11"/>
      <c r="P468" s="35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35">
        <f>(I468-F468)/5280</f>
        <v>1.7803030303030303E-2</v>
      </c>
      <c r="AD468" s="35"/>
      <c r="AE468" s="35"/>
      <c r="AF468" s="11"/>
      <c r="AG468" s="11"/>
      <c r="AH468" s="11"/>
      <c r="AI468" s="11"/>
    </row>
    <row r="469" spans="2:35" ht="12.75" customHeight="1" x14ac:dyDescent="0.2">
      <c r="B469" s="22"/>
      <c r="D469" s="11" t="s">
        <v>77</v>
      </c>
      <c r="E469" s="11">
        <v>13</v>
      </c>
      <c r="F469" s="343">
        <v>65888</v>
      </c>
      <c r="G469" s="343"/>
      <c r="H469" s="13"/>
      <c r="I469" s="337">
        <v>65982</v>
      </c>
      <c r="J469" s="338"/>
      <c r="K469" s="13" t="s">
        <v>25</v>
      </c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35">
        <f>(I469-F469)/5280</f>
        <v>1.7803030303030303E-2</v>
      </c>
      <c r="AD469" s="11"/>
      <c r="AE469" s="11"/>
      <c r="AF469" s="11"/>
      <c r="AG469" s="11"/>
      <c r="AH469" s="11"/>
      <c r="AI469" s="11"/>
    </row>
    <row r="470" spans="2:35" ht="12.75" customHeight="1" x14ac:dyDescent="0.2">
      <c r="B470" s="22"/>
      <c r="D470" s="11" t="s">
        <v>69</v>
      </c>
      <c r="E470" s="11">
        <v>1</v>
      </c>
      <c r="F470" s="337">
        <v>59750</v>
      </c>
      <c r="G470" s="339"/>
      <c r="H470" s="11"/>
      <c r="I470" s="337">
        <v>62600</v>
      </c>
      <c r="J470" s="338"/>
      <c r="K470" s="13" t="s">
        <v>35</v>
      </c>
      <c r="L470" s="11"/>
      <c r="M470" s="11"/>
      <c r="N470" s="35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35">
        <f t="shared" ref="AD470:AD480" si="22">(I470-F470)/5280</f>
        <v>0.53977272727272729</v>
      </c>
      <c r="AE470" s="11"/>
      <c r="AF470" s="11"/>
      <c r="AG470" s="11"/>
      <c r="AH470" s="11"/>
      <c r="AI470" s="11"/>
    </row>
    <row r="471" spans="2:35" ht="12.75" customHeight="1" x14ac:dyDescent="0.2">
      <c r="B471" s="22"/>
      <c r="D471" s="11" t="s">
        <v>76</v>
      </c>
      <c r="E471" s="11">
        <v>1</v>
      </c>
      <c r="F471" s="337">
        <v>59750</v>
      </c>
      <c r="G471" s="339"/>
      <c r="H471" s="11"/>
      <c r="I471" s="337">
        <v>65888</v>
      </c>
      <c r="J471" s="338"/>
      <c r="K471" s="13" t="s">
        <v>35</v>
      </c>
      <c r="L471" s="11"/>
      <c r="M471" s="11"/>
      <c r="N471" s="11"/>
      <c r="O471" s="11"/>
      <c r="P471" s="35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35">
        <f t="shared" si="22"/>
        <v>1.1625000000000001</v>
      </c>
      <c r="AE471" s="11"/>
      <c r="AF471" s="11"/>
      <c r="AG471" s="11"/>
      <c r="AH471" s="11"/>
      <c r="AI471" s="11"/>
    </row>
    <row r="472" spans="2:35" ht="12.75" customHeight="1" x14ac:dyDescent="0.2">
      <c r="B472" s="22"/>
      <c r="D472" s="11" t="s">
        <v>82</v>
      </c>
      <c r="E472" s="11">
        <v>13</v>
      </c>
      <c r="F472" s="343">
        <v>65982</v>
      </c>
      <c r="G472" s="343"/>
      <c r="H472" s="13"/>
      <c r="I472" s="337">
        <v>68187</v>
      </c>
      <c r="J472" s="338"/>
      <c r="K472" s="13" t="s">
        <v>61</v>
      </c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35">
        <f t="shared" si="22"/>
        <v>0.41761363636363635</v>
      </c>
      <c r="AE472" s="11"/>
      <c r="AF472" s="11"/>
      <c r="AG472" s="11"/>
      <c r="AH472" s="11"/>
      <c r="AI472" s="11"/>
    </row>
    <row r="473" spans="2:35" ht="12.75" customHeight="1" x14ac:dyDescent="0.2">
      <c r="B473" s="22"/>
      <c r="D473" s="11" t="s">
        <v>81</v>
      </c>
      <c r="E473" s="11">
        <v>17</v>
      </c>
      <c r="F473" s="343">
        <v>67887</v>
      </c>
      <c r="G473" s="343"/>
      <c r="H473" s="13"/>
      <c r="I473" s="337">
        <v>68187</v>
      </c>
      <c r="J473" s="338"/>
      <c r="K473" s="13" t="s">
        <v>24</v>
      </c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35">
        <f t="shared" si="22"/>
        <v>5.6818181818181816E-2</v>
      </c>
      <c r="AE473" s="11"/>
      <c r="AF473" s="11"/>
      <c r="AG473" s="11"/>
      <c r="AH473" s="11"/>
      <c r="AI473" s="11"/>
    </row>
    <row r="474" spans="2:35" ht="12.75" customHeight="1" x14ac:dyDescent="0.2">
      <c r="B474" s="22"/>
      <c r="D474" s="11" t="s">
        <v>86</v>
      </c>
      <c r="E474" s="11">
        <v>19</v>
      </c>
      <c r="F474" s="343">
        <v>68723</v>
      </c>
      <c r="G474" s="343"/>
      <c r="H474" s="13"/>
      <c r="I474" s="337">
        <v>69100</v>
      </c>
      <c r="J474" s="338"/>
      <c r="K474" s="13" t="s">
        <v>24</v>
      </c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35">
        <f t="shared" si="22"/>
        <v>7.1401515151515146E-2</v>
      </c>
      <c r="AE474" s="11"/>
      <c r="AF474" s="11"/>
      <c r="AG474" s="11"/>
      <c r="AH474" s="11"/>
      <c r="AI474" s="11"/>
    </row>
    <row r="475" spans="2:35" ht="12.75" customHeight="1" x14ac:dyDescent="0.2">
      <c r="B475" s="22"/>
      <c r="D475" s="11" t="s">
        <v>88</v>
      </c>
      <c r="E475" s="11">
        <v>19</v>
      </c>
      <c r="F475" s="343">
        <v>68723</v>
      </c>
      <c r="G475" s="343"/>
      <c r="H475" s="13"/>
      <c r="I475" s="337">
        <v>72862</v>
      </c>
      <c r="J475" s="338"/>
      <c r="K475" s="13" t="s">
        <v>87</v>
      </c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35">
        <f t="shared" si="22"/>
        <v>0.78390151515151518</v>
      </c>
      <c r="AE475" s="11"/>
      <c r="AF475" s="11"/>
      <c r="AG475" s="11"/>
      <c r="AH475" s="11"/>
      <c r="AI475" s="11"/>
    </row>
    <row r="476" spans="2:35" ht="12.75" customHeight="1" x14ac:dyDescent="0.2">
      <c r="B476" s="22"/>
      <c r="D476" s="11" t="s">
        <v>89</v>
      </c>
      <c r="E476" s="11">
        <v>22</v>
      </c>
      <c r="F476" s="343">
        <v>69894</v>
      </c>
      <c r="G476" s="343"/>
      <c r="H476" s="13"/>
      <c r="I476" s="337">
        <v>71891</v>
      </c>
      <c r="J476" s="338"/>
      <c r="K476" s="13" t="s">
        <v>25</v>
      </c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35">
        <f t="shared" si="22"/>
        <v>0.37821969696969698</v>
      </c>
      <c r="AE476" s="11"/>
      <c r="AF476" s="11"/>
      <c r="AG476" s="11"/>
      <c r="AH476" s="11"/>
      <c r="AI476" s="11"/>
    </row>
    <row r="477" spans="2:35" ht="12.75" customHeight="1" x14ac:dyDescent="0.2">
      <c r="B477" s="22"/>
      <c r="D477" s="11" t="s">
        <v>92</v>
      </c>
      <c r="E477" s="11">
        <v>28</v>
      </c>
      <c r="F477" s="343">
        <v>172608</v>
      </c>
      <c r="G477" s="343"/>
      <c r="H477" s="13"/>
      <c r="I477" s="337">
        <v>173365</v>
      </c>
      <c r="J477" s="338"/>
      <c r="K477" s="13" t="s">
        <v>61</v>
      </c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35">
        <f t="shared" si="22"/>
        <v>0.14337121212121212</v>
      </c>
      <c r="AE477" s="11"/>
      <c r="AF477" s="11"/>
      <c r="AG477" s="11"/>
      <c r="AH477" s="11"/>
      <c r="AI477" s="11"/>
    </row>
    <row r="478" spans="2:35" ht="12.75" customHeight="1" x14ac:dyDescent="0.2">
      <c r="B478" s="22"/>
      <c r="D478" s="11" t="s">
        <v>93</v>
      </c>
      <c r="E478" s="11">
        <v>29</v>
      </c>
      <c r="F478" s="343">
        <v>173185</v>
      </c>
      <c r="G478" s="343"/>
      <c r="H478" s="13"/>
      <c r="I478" s="337">
        <v>173365</v>
      </c>
      <c r="J478" s="338"/>
      <c r="K478" s="13" t="s">
        <v>24</v>
      </c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35">
        <f t="shared" si="22"/>
        <v>3.4090909090909088E-2</v>
      </c>
      <c r="AE478" s="11"/>
      <c r="AF478" s="11"/>
      <c r="AG478" s="11"/>
      <c r="AH478" s="11"/>
      <c r="AI478" s="11"/>
    </row>
    <row r="479" spans="2:35" ht="12.75" customHeight="1" x14ac:dyDescent="0.2">
      <c r="B479" s="22"/>
      <c r="D479" s="11" t="s">
        <v>96</v>
      </c>
      <c r="E479" s="11">
        <v>31</v>
      </c>
      <c r="F479" s="343">
        <v>173907</v>
      </c>
      <c r="G479" s="343"/>
      <c r="H479" s="13"/>
      <c r="I479" s="337">
        <v>174550</v>
      </c>
      <c r="J479" s="338"/>
      <c r="K479" s="13" t="s">
        <v>25</v>
      </c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35">
        <f t="shared" si="22"/>
        <v>0.12178030303030303</v>
      </c>
      <c r="AE479" s="11"/>
      <c r="AF479" s="11"/>
      <c r="AG479" s="11"/>
      <c r="AH479" s="11"/>
      <c r="AI479" s="11"/>
    </row>
    <row r="480" spans="2:35" ht="12.75" customHeight="1" x14ac:dyDescent="0.2">
      <c r="B480" s="22"/>
      <c r="D480" s="11" t="s">
        <v>97</v>
      </c>
      <c r="E480" s="11">
        <v>31</v>
      </c>
      <c r="F480" s="343">
        <v>173907</v>
      </c>
      <c r="G480" s="343"/>
      <c r="H480" s="13"/>
      <c r="I480" s="337">
        <v>174550</v>
      </c>
      <c r="J480" s="338"/>
      <c r="K480" s="13" t="s">
        <v>24</v>
      </c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35">
        <f t="shared" si="22"/>
        <v>0.12178030303030303</v>
      </c>
      <c r="AE480" s="11"/>
      <c r="AF480" s="11"/>
      <c r="AG480" s="11"/>
      <c r="AH480" s="11"/>
      <c r="AI480" s="11"/>
    </row>
    <row r="481" spans="2:35" ht="12.75" customHeight="1" x14ac:dyDescent="0.2">
      <c r="B481" s="22"/>
      <c r="D481" s="11" t="s">
        <v>83</v>
      </c>
      <c r="E481" s="11">
        <v>13</v>
      </c>
      <c r="F481" s="343">
        <v>65888</v>
      </c>
      <c r="G481" s="343"/>
      <c r="H481" s="13"/>
      <c r="I481" s="337">
        <v>65982</v>
      </c>
      <c r="J481" s="338"/>
      <c r="K481" s="13" t="s">
        <v>35</v>
      </c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35">
        <f>(I480-F480)/5280</f>
        <v>0.12178030303030303</v>
      </c>
      <c r="AF481" s="11"/>
      <c r="AG481" s="11"/>
      <c r="AH481" s="11"/>
      <c r="AI481" s="11"/>
    </row>
    <row r="482" spans="2:35" ht="12.75" customHeight="1" x14ac:dyDescent="0.2">
      <c r="B482" s="22"/>
      <c r="D482" s="11" t="s">
        <v>401</v>
      </c>
      <c r="E482" s="11">
        <v>1</v>
      </c>
      <c r="F482" s="343">
        <v>59950</v>
      </c>
      <c r="G482" s="343"/>
      <c r="H482" s="13"/>
      <c r="I482" s="337"/>
      <c r="J482" s="338"/>
      <c r="K482" s="13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>
        <v>1</v>
      </c>
      <c r="AI482" s="11">
        <v>1</v>
      </c>
    </row>
    <row r="483" spans="2:35" ht="12.75" customHeight="1" x14ac:dyDescent="0.2">
      <c r="B483" s="22"/>
      <c r="D483" s="11" t="s">
        <v>402</v>
      </c>
      <c r="E483" s="11">
        <v>1</v>
      </c>
      <c r="F483" s="337">
        <v>59950</v>
      </c>
      <c r="G483" s="339"/>
      <c r="H483" s="11"/>
      <c r="I483" s="337" t="s">
        <v>98</v>
      </c>
      <c r="J483" s="338"/>
      <c r="K483" s="13" t="s">
        <v>25</v>
      </c>
      <c r="L483" s="11"/>
      <c r="M483" s="11"/>
      <c r="N483" s="35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35"/>
      <c r="AE483" s="11"/>
      <c r="AF483" s="11">
        <f>3.5+7+3</f>
        <v>13.5</v>
      </c>
      <c r="AG483" s="11">
        <f>(3*3)-(4*0.5)</f>
        <v>7</v>
      </c>
      <c r="AH483" s="11"/>
      <c r="AI483" s="11"/>
    </row>
    <row r="484" spans="2:35" ht="12.75" customHeight="1" x14ac:dyDescent="0.2">
      <c r="B484" s="22"/>
      <c r="D484" s="11" t="s">
        <v>404</v>
      </c>
      <c r="E484" s="11">
        <v>1</v>
      </c>
      <c r="F484" s="337">
        <v>59944</v>
      </c>
      <c r="G484" s="339"/>
      <c r="H484" s="11"/>
      <c r="I484" s="337" t="s">
        <v>99</v>
      </c>
      <c r="J484" s="338"/>
      <c r="K484" s="13" t="s">
        <v>25</v>
      </c>
      <c r="L484" s="11"/>
      <c r="M484" s="11"/>
      <c r="N484" s="11"/>
      <c r="O484" s="11"/>
      <c r="P484" s="35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35"/>
      <c r="AE484" s="11"/>
      <c r="AF484" s="11">
        <f>3.5+7+2.5</f>
        <v>13</v>
      </c>
      <c r="AG484" s="11">
        <f>2*2.5</f>
        <v>5</v>
      </c>
      <c r="AH484" s="11"/>
      <c r="AI484" s="11"/>
    </row>
    <row r="485" spans="2:35" ht="12.75" customHeight="1" x14ac:dyDescent="0.2">
      <c r="B485" s="22"/>
      <c r="D485" s="11" t="s">
        <v>403</v>
      </c>
      <c r="E485" s="11">
        <v>1</v>
      </c>
      <c r="F485" s="343">
        <v>59983</v>
      </c>
      <c r="G485" s="343"/>
      <c r="H485" s="13"/>
      <c r="I485" s="337" t="s">
        <v>101</v>
      </c>
      <c r="J485" s="338"/>
      <c r="K485" s="13" t="s">
        <v>25</v>
      </c>
      <c r="L485" s="11"/>
      <c r="M485" s="11"/>
      <c r="N485" s="11"/>
      <c r="O485" s="11"/>
      <c r="P485" s="35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35"/>
      <c r="AD485" s="11"/>
      <c r="AE485" s="11"/>
      <c r="AF485" s="11">
        <f>3.5+7+4.5+1</f>
        <v>16</v>
      </c>
      <c r="AG485" s="6">
        <f>3*3</f>
        <v>9</v>
      </c>
      <c r="AH485" s="11"/>
      <c r="AI485" s="11"/>
    </row>
    <row r="486" spans="2:35" ht="12.75" customHeight="1" x14ac:dyDescent="0.2">
      <c r="B486" s="22"/>
      <c r="D486" s="11"/>
      <c r="E486" s="11">
        <v>1</v>
      </c>
      <c r="F486" s="343">
        <v>59983</v>
      </c>
      <c r="G486" s="343"/>
      <c r="H486" s="13"/>
      <c r="I486" s="337" t="s">
        <v>100</v>
      </c>
      <c r="J486" s="338"/>
      <c r="K486" s="13" t="s">
        <v>25</v>
      </c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35"/>
      <c r="AD486" s="11"/>
      <c r="AE486" s="11"/>
      <c r="AF486" s="11"/>
      <c r="AG486" s="11">
        <f>2*1</f>
        <v>2</v>
      </c>
      <c r="AH486" s="11"/>
      <c r="AI486" s="11"/>
    </row>
    <row r="487" spans="2:35" ht="12.75" customHeight="1" x14ac:dyDescent="0.2">
      <c r="B487" s="22"/>
      <c r="D487" s="11" t="s">
        <v>405</v>
      </c>
      <c r="E487" s="11">
        <v>2</v>
      </c>
      <c r="F487" s="343">
        <v>60291</v>
      </c>
      <c r="G487" s="343"/>
      <c r="H487" s="13"/>
      <c r="I487" s="337" t="s">
        <v>102</v>
      </c>
      <c r="J487" s="338"/>
      <c r="K487" s="13" t="s">
        <v>25</v>
      </c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35"/>
      <c r="AC487" s="11"/>
      <c r="AD487" s="11"/>
      <c r="AE487" s="11"/>
      <c r="AF487" s="11">
        <f>3.5+7+2.5</f>
        <v>13</v>
      </c>
      <c r="AG487" s="11">
        <f>2.5*2.5</f>
        <v>6.25</v>
      </c>
      <c r="AH487" s="11"/>
      <c r="AI487" s="11"/>
    </row>
    <row r="488" spans="2:35" ht="12.75" customHeight="1" x14ac:dyDescent="0.2">
      <c r="B488" s="22"/>
      <c r="D488" s="11" t="s">
        <v>406</v>
      </c>
      <c r="E488" s="11">
        <v>2</v>
      </c>
      <c r="F488" s="343">
        <v>60291</v>
      </c>
      <c r="G488" s="343"/>
      <c r="H488" s="13"/>
      <c r="I488" s="337"/>
      <c r="J488" s="338"/>
      <c r="K488" s="13" t="s">
        <v>25</v>
      </c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35"/>
      <c r="AC488" s="11"/>
      <c r="AD488" s="11"/>
      <c r="AE488" s="11"/>
      <c r="AF488" s="11"/>
      <c r="AG488" s="11"/>
      <c r="AH488" s="11">
        <v>1</v>
      </c>
      <c r="AI488" s="11">
        <v>1</v>
      </c>
    </row>
    <row r="489" spans="2:35" ht="12.75" customHeight="1" x14ac:dyDescent="0.2">
      <c r="B489" s="22"/>
      <c r="D489" s="11" t="s">
        <v>407</v>
      </c>
      <c r="E489" s="11">
        <v>2</v>
      </c>
      <c r="F489" s="343">
        <v>60403</v>
      </c>
      <c r="G489" s="343"/>
      <c r="H489" s="13"/>
      <c r="I489" s="337" t="s">
        <v>103</v>
      </c>
      <c r="J489" s="338"/>
      <c r="K489" s="13" t="s">
        <v>25</v>
      </c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35"/>
      <c r="AF489" s="11">
        <f>3.5+7+4.5</f>
        <v>15</v>
      </c>
      <c r="AG489" s="11">
        <f>3*3</f>
        <v>9</v>
      </c>
      <c r="AH489" s="11"/>
      <c r="AI489" s="11"/>
    </row>
    <row r="490" spans="2:35" ht="12.75" customHeight="1" x14ac:dyDescent="0.2">
      <c r="B490" s="22"/>
      <c r="D490" s="11" t="s">
        <v>408</v>
      </c>
      <c r="E490" s="11">
        <v>2</v>
      </c>
      <c r="F490" s="343">
        <v>60403</v>
      </c>
      <c r="G490" s="343"/>
      <c r="H490" s="13"/>
      <c r="I490" s="337"/>
      <c r="J490" s="338"/>
      <c r="K490" s="13" t="s">
        <v>25</v>
      </c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35"/>
      <c r="AE490" s="35"/>
      <c r="AF490" s="11"/>
      <c r="AG490" s="11"/>
      <c r="AH490" s="11">
        <v>1</v>
      </c>
      <c r="AI490" s="11">
        <v>1</v>
      </c>
    </row>
    <row r="491" spans="2:35" ht="12.75" customHeight="1" x14ac:dyDescent="0.2">
      <c r="B491" s="22"/>
      <c r="D491" s="11" t="s">
        <v>409</v>
      </c>
      <c r="E491" s="11">
        <v>2</v>
      </c>
      <c r="F491" s="343"/>
      <c r="G491" s="343"/>
      <c r="H491" s="13"/>
      <c r="I491" s="337"/>
      <c r="J491" s="338"/>
      <c r="K491" s="13" t="s">
        <v>25</v>
      </c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35"/>
      <c r="AE491" s="35"/>
      <c r="AF491" s="11"/>
      <c r="AG491" s="11"/>
      <c r="AH491" s="11"/>
      <c r="AI491" s="11"/>
    </row>
    <row r="492" spans="2:35" ht="12.75" customHeight="1" x14ac:dyDescent="0.2">
      <c r="B492" s="22"/>
      <c r="D492" s="11" t="s">
        <v>410</v>
      </c>
      <c r="E492" s="11">
        <v>2</v>
      </c>
      <c r="F492" s="343">
        <v>60718</v>
      </c>
      <c r="G492" s="343"/>
      <c r="H492" s="13"/>
      <c r="I492" s="337" t="s">
        <v>104</v>
      </c>
      <c r="J492" s="338"/>
      <c r="K492" s="13" t="s">
        <v>25</v>
      </c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32"/>
      <c r="Y492" s="11"/>
      <c r="Z492" s="11"/>
      <c r="AA492" s="11"/>
      <c r="AB492" s="35"/>
      <c r="AC492" s="11"/>
      <c r="AD492" s="11"/>
      <c r="AE492" s="11"/>
      <c r="AF492" s="11">
        <f>3.5+7+2</f>
        <v>12.5</v>
      </c>
      <c r="AG492" s="11">
        <f>2*2</f>
        <v>4</v>
      </c>
      <c r="AH492" s="11"/>
      <c r="AI492" s="11"/>
    </row>
    <row r="493" spans="2:35" ht="12.75" customHeight="1" x14ac:dyDescent="0.2">
      <c r="B493" s="22"/>
      <c r="D493" s="11" t="s">
        <v>411</v>
      </c>
      <c r="E493" s="11">
        <v>2</v>
      </c>
      <c r="F493" s="343">
        <v>60733</v>
      </c>
      <c r="G493" s="343"/>
      <c r="H493" s="13"/>
      <c r="I493" s="337" t="s">
        <v>101</v>
      </c>
      <c r="J493" s="338"/>
      <c r="K493" s="13" t="s">
        <v>25</v>
      </c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32"/>
      <c r="Y493" s="11"/>
      <c r="Z493" s="11"/>
      <c r="AA493" s="11"/>
      <c r="AB493" s="35"/>
      <c r="AC493" s="11"/>
      <c r="AD493" s="11"/>
      <c r="AE493" s="11"/>
      <c r="AF493" s="11">
        <f>3.5+7+4.5+1</f>
        <v>16</v>
      </c>
      <c r="AG493" s="11">
        <f>3*3</f>
        <v>9</v>
      </c>
      <c r="AH493" s="11"/>
      <c r="AI493" s="11"/>
    </row>
    <row r="494" spans="2:35" ht="12.75" customHeight="1" x14ac:dyDescent="0.2">
      <c r="B494" s="22"/>
      <c r="D494" s="11"/>
      <c r="E494" s="11">
        <v>2</v>
      </c>
      <c r="F494" s="343">
        <v>60733</v>
      </c>
      <c r="G494" s="343"/>
      <c r="H494" s="13"/>
      <c r="I494" s="337" t="s">
        <v>100</v>
      </c>
      <c r="J494" s="338"/>
      <c r="K494" s="13" t="s">
        <v>25</v>
      </c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35"/>
      <c r="AE494" s="11"/>
      <c r="AF494" s="11"/>
      <c r="AG494" s="11">
        <f>2*1</f>
        <v>2</v>
      </c>
      <c r="AH494" s="11"/>
      <c r="AI494" s="11"/>
    </row>
    <row r="495" spans="2:35" ht="12.75" customHeight="1" x14ac:dyDescent="0.2">
      <c r="B495" s="22"/>
      <c r="D495" s="11" t="s">
        <v>412</v>
      </c>
      <c r="E495" s="11">
        <v>3</v>
      </c>
      <c r="F495" s="343">
        <v>61064</v>
      </c>
      <c r="G495" s="343"/>
      <c r="H495" s="13"/>
      <c r="I495" s="337" t="s">
        <v>102</v>
      </c>
      <c r="J495" s="338"/>
      <c r="K495" s="13" t="s">
        <v>25</v>
      </c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35"/>
      <c r="AE495" s="11"/>
      <c r="AF495" s="11">
        <f>3.5+7+2.5</f>
        <v>13</v>
      </c>
      <c r="AG495" s="11">
        <f>2.5*2.5</f>
        <v>6.25</v>
      </c>
      <c r="AH495" s="11"/>
      <c r="AI495" s="11"/>
    </row>
    <row r="496" spans="2:35" ht="12.75" customHeight="1" x14ac:dyDescent="0.2">
      <c r="B496" s="22"/>
      <c r="D496" s="11" t="s">
        <v>413</v>
      </c>
      <c r="E496" s="11">
        <v>3</v>
      </c>
      <c r="F496" s="343"/>
      <c r="G496" s="343"/>
      <c r="H496" s="13"/>
      <c r="I496" s="337"/>
      <c r="J496" s="338"/>
      <c r="K496" s="13" t="s">
        <v>25</v>
      </c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35"/>
      <c r="AE496" s="11"/>
      <c r="AF496" s="11"/>
      <c r="AG496" s="11"/>
      <c r="AH496" s="11">
        <v>1</v>
      </c>
      <c r="AI496" s="11">
        <v>1</v>
      </c>
    </row>
    <row r="497" spans="2:35" ht="12.75" customHeight="1" x14ac:dyDescent="0.2">
      <c r="B497" s="22"/>
      <c r="D497" s="11" t="s">
        <v>414</v>
      </c>
      <c r="E497" s="11">
        <v>4</v>
      </c>
      <c r="F497" s="343">
        <v>61693</v>
      </c>
      <c r="G497" s="343"/>
      <c r="H497" s="13"/>
      <c r="I497" s="337" t="s">
        <v>98</v>
      </c>
      <c r="J497" s="338"/>
      <c r="K497" s="13" t="s">
        <v>25</v>
      </c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35"/>
      <c r="AC497" s="11"/>
      <c r="AD497" s="11"/>
      <c r="AE497" s="11"/>
      <c r="AF497" s="11">
        <f>3.5+7+3</f>
        <v>13.5</v>
      </c>
      <c r="AG497" s="11">
        <f>(3*3)-(4*0.5)</f>
        <v>7</v>
      </c>
      <c r="AH497" s="11"/>
      <c r="AI497" s="11"/>
    </row>
    <row r="498" spans="2:35" ht="12.75" customHeight="1" x14ac:dyDescent="0.2">
      <c r="B498" s="22"/>
      <c r="D498" s="11" t="s">
        <v>416</v>
      </c>
      <c r="E498" s="11">
        <v>4</v>
      </c>
      <c r="F498" s="343"/>
      <c r="G498" s="343"/>
      <c r="H498" s="13"/>
      <c r="I498" s="337"/>
      <c r="J498" s="338"/>
      <c r="K498" s="13" t="s">
        <v>25</v>
      </c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35"/>
      <c r="AC498" s="11"/>
      <c r="AD498" s="11"/>
      <c r="AE498" s="11"/>
      <c r="AF498" s="11"/>
      <c r="AG498" s="11"/>
      <c r="AH498" s="11">
        <v>1</v>
      </c>
      <c r="AI498" s="11">
        <v>1</v>
      </c>
    </row>
    <row r="499" spans="2:35" ht="12.75" customHeight="1" x14ac:dyDescent="0.2">
      <c r="B499" s="22"/>
      <c r="D499" s="11" t="s">
        <v>415</v>
      </c>
      <c r="E499" s="11">
        <v>4</v>
      </c>
      <c r="F499" s="343">
        <v>61737</v>
      </c>
      <c r="G499" s="343"/>
      <c r="H499" s="13"/>
      <c r="I499" s="337" t="s">
        <v>99</v>
      </c>
      <c r="J499" s="338"/>
      <c r="K499" s="13" t="s">
        <v>25</v>
      </c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35"/>
      <c r="AE499" s="11"/>
      <c r="AF499" s="11">
        <f>3.5+7+2.5</f>
        <v>13</v>
      </c>
      <c r="AG499" s="11">
        <f>2*2.5</f>
        <v>5</v>
      </c>
      <c r="AH499" s="11"/>
      <c r="AI499" s="11"/>
    </row>
    <row r="500" spans="2:35" ht="12.75" customHeight="1" x14ac:dyDescent="0.2">
      <c r="B500" s="22"/>
      <c r="D500" s="11" t="s">
        <v>417</v>
      </c>
      <c r="E500" s="11">
        <v>4</v>
      </c>
      <c r="F500" s="343">
        <v>61737</v>
      </c>
      <c r="G500" s="343"/>
      <c r="H500" s="13"/>
      <c r="I500" s="337"/>
      <c r="J500" s="338"/>
      <c r="K500" s="13" t="s">
        <v>25</v>
      </c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35"/>
      <c r="AE500" s="11"/>
      <c r="AF500" s="11"/>
      <c r="AG500" s="11"/>
      <c r="AH500" s="11">
        <v>1</v>
      </c>
      <c r="AI500" s="11">
        <v>1</v>
      </c>
    </row>
    <row r="501" spans="2:35" ht="12.75" customHeight="1" x14ac:dyDescent="0.2">
      <c r="B501" s="22"/>
      <c r="D501" s="11" t="s">
        <v>418</v>
      </c>
      <c r="E501" s="11">
        <v>5</v>
      </c>
      <c r="F501" s="343">
        <v>61785</v>
      </c>
      <c r="G501" s="343"/>
      <c r="H501" s="13"/>
      <c r="I501" s="337" t="s">
        <v>101</v>
      </c>
      <c r="J501" s="338"/>
      <c r="K501" s="13" t="s">
        <v>25</v>
      </c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35"/>
      <c r="AC501" s="11"/>
      <c r="AD501" s="11"/>
      <c r="AE501" s="11"/>
      <c r="AF501" s="11">
        <f>3.5+7+4.5+1</f>
        <v>16</v>
      </c>
      <c r="AG501" s="6">
        <f>3*3</f>
        <v>9</v>
      </c>
      <c r="AH501" s="11"/>
      <c r="AI501" s="11"/>
    </row>
    <row r="502" spans="2:35" ht="12.75" customHeight="1" x14ac:dyDescent="0.2">
      <c r="B502" s="22"/>
      <c r="D502" s="11"/>
      <c r="E502" s="11">
        <v>5</v>
      </c>
      <c r="F502" s="343">
        <v>61785</v>
      </c>
      <c r="G502" s="343"/>
      <c r="H502" s="13"/>
      <c r="I502" s="337" t="s">
        <v>100</v>
      </c>
      <c r="J502" s="338"/>
      <c r="K502" s="13" t="s">
        <v>25</v>
      </c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35"/>
      <c r="AC502" s="11"/>
      <c r="AD502" s="11"/>
      <c r="AE502" s="11"/>
      <c r="AF502" s="11"/>
      <c r="AG502" s="11">
        <f>2*1</f>
        <v>2</v>
      </c>
      <c r="AH502" s="11"/>
      <c r="AI502" s="11"/>
    </row>
    <row r="503" spans="2:35" ht="12.75" customHeight="1" x14ac:dyDescent="0.2">
      <c r="B503" s="22"/>
      <c r="D503" s="11" t="s">
        <v>419</v>
      </c>
      <c r="E503" s="11">
        <v>5</v>
      </c>
      <c r="F503" s="343">
        <v>62107</v>
      </c>
      <c r="G503" s="343"/>
      <c r="H503" s="13"/>
      <c r="I503" s="337" t="s">
        <v>102</v>
      </c>
      <c r="J503" s="338"/>
      <c r="K503" s="13" t="s">
        <v>25</v>
      </c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35"/>
      <c r="AE503" s="11"/>
      <c r="AF503" s="11">
        <f>3.5+7+2.5</f>
        <v>13</v>
      </c>
      <c r="AG503" s="11">
        <f>2.5*2.5</f>
        <v>6.25</v>
      </c>
      <c r="AH503" s="11"/>
      <c r="AI503" s="11"/>
    </row>
    <row r="504" spans="2:35" ht="12.75" customHeight="1" thickBot="1" x14ac:dyDescent="0.25">
      <c r="B504" s="23"/>
      <c r="D504" s="11" t="s">
        <v>420</v>
      </c>
      <c r="E504" s="11">
        <v>5</v>
      </c>
      <c r="F504" s="343"/>
      <c r="G504" s="343"/>
      <c r="H504" s="13"/>
      <c r="I504" s="337"/>
      <c r="J504" s="338"/>
      <c r="K504" s="13" t="s">
        <v>25</v>
      </c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35"/>
      <c r="AE504" s="11"/>
      <c r="AF504" s="11"/>
      <c r="AG504" s="11"/>
      <c r="AH504" s="11">
        <v>1</v>
      </c>
      <c r="AI504" s="11">
        <v>1</v>
      </c>
    </row>
    <row r="505" spans="2:35" ht="12.75" customHeight="1" x14ac:dyDescent="0.2">
      <c r="B505" s="5" t="s">
        <v>11</v>
      </c>
      <c r="D505" s="351" t="s">
        <v>2</v>
      </c>
      <c r="E505" s="352"/>
      <c r="F505" s="352"/>
      <c r="G505" s="352"/>
      <c r="H505" s="352"/>
      <c r="I505" s="352"/>
      <c r="J505" s="353"/>
      <c r="K505" s="14" t="str">
        <f>IF(K423="","",IF(OR(K438="", K438="LS", K438="LUMP"),IF(SUM(COUNTIF(K439:K504,"LS")+COUNTIF(K439:K504,"LUMP"))&gt;0,"LS",""),IF(SUM(K439:K504)&gt;0,ROUNDUP(SUM(K439:K504),0),"")))</f>
        <v/>
      </c>
      <c r="L505" s="14" t="str">
        <f t="shared" ref="L505:AI505" si="23">IF(L423="","",IF(OR(L438="", L438="LS", L438="LUMP"),IF(SUM(COUNTIF(L439:L504,"LS")+COUNTIF(L439:L504,"LUMP"))&gt;0,"LS",""),IF(SUM(L439:L504)&gt;0,ROUNDUP(SUM(L439:L504),0),"")))</f>
        <v/>
      </c>
      <c r="M505" s="14" t="str">
        <f t="shared" si="23"/>
        <v/>
      </c>
      <c r="N505" s="14">
        <f t="shared" si="23"/>
        <v>1</v>
      </c>
      <c r="O505" s="14">
        <f t="shared" si="23"/>
        <v>1</v>
      </c>
      <c r="P505" s="14">
        <f t="shared" si="23"/>
        <v>1</v>
      </c>
      <c r="Q505" s="14" t="str">
        <f t="shared" si="23"/>
        <v/>
      </c>
      <c r="R505" s="14">
        <f t="shared" si="23"/>
        <v>24</v>
      </c>
      <c r="S505" s="14" t="str">
        <f t="shared" si="23"/>
        <v/>
      </c>
      <c r="T505" s="14">
        <f t="shared" si="23"/>
        <v>8</v>
      </c>
      <c r="U505" s="14">
        <f t="shared" si="23"/>
        <v>1</v>
      </c>
      <c r="V505" s="14" t="str">
        <f t="shared" si="23"/>
        <v/>
      </c>
      <c r="W505" s="14" t="str">
        <f t="shared" si="23"/>
        <v/>
      </c>
      <c r="X505" s="14" t="str">
        <f t="shared" si="23"/>
        <v/>
      </c>
      <c r="Y505" s="14" t="str">
        <f t="shared" si="23"/>
        <v/>
      </c>
      <c r="Z505" s="14" t="str">
        <f t="shared" si="23"/>
        <v/>
      </c>
      <c r="AA505" s="14" t="str">
        <f t="shared" si="23"/>
        <v/>
      </c>
      <c r="AB505" s="14">
        <f>IF(AB423="","",IF(OR(AB438="", AB438="LS", AB438="LUMP"),IF(SUM(COUNTIF(AB439:AB504,"LS")+COUNTIF(AB439:AB504,"LUMP"))&gt;0,"LS",""),IF(SUM(AB439:AB504)&gt;0,ROUNDUP(SUM(AB439:AB504),0),"")))</f>
        <v>6</v>
      </c>
      <c r="AC505" s="14">
        <f>IF(AC423="","",IF(OR(AC438="", AC438="LS", AC438="LUMP"),IF(SUM(COUNTIF(AC439:AC504,"LS")+COUNTIF(AC439:AC504,"LUMP"))&gt;0,"LS",""),IF(SUM(AC439:AC504)&gt;0,ROUNDUP(SUM(AC439:AC504),0),"")))</f>
        <v>1</v>
      </c>
      <c r="AD505" s="14">
        <f>IF(AD423="","",IF(OR(AD438="", AD438="LS", AD438="LUMP"),IF(SUM(COUNTIF(AD439:AD504,"LS")+COUNTIF(AD439:AD504,"LUMP"))&gt;0,"LS",""),IF(SUM(AD439:AD504)&gt;0,ROUNDUP(SUM(AD439:AD504),0),"")))</f>
        <v>4</v>
      </c>
      <c r="AE505" s="14">
        <f>IF(AE423="","",IF(OR(AE438="", AE438="LS", AE438="LUMP"),IF(SUM(COUNTIF(AE439:AE504,"LS")+COUNTIF(AE439:AE504,"LUMP"))&gt;0,"LS",""),IF(SUM(AE439:AE504)&gt;0,ROUNDUP(SUM(AE439:AE504),0),"")))</f>
        <v>1</v>
      </c>
      <c r="AF505" s="14">
        <f t="shared" si="23"/>
        <v>168</v>
      </c>
      <c r="AG505" s="14">
        <f t="shared" si="23"/>
        <v>89</v>
      </c>
      <c r="AH505" s="14">
        <f t="shared" si="23"/>
        <v>7</v>
      </c>
      <c r="AI505" s="14">
        <f t="shared" si="23"/>
        <v>7</v>
      </c>
    </row>
    <row r="506" spans="2:35" ht="12.75" customHeight="1" thickBot="1" x14ac:dyDescent="0.25"/>
    <row r="507" spans="2:35" ht="12.75" customHeight="1" thickBot="1" x14ac:dyDescent="0.25">
      <c r="B507" s="20" t="s">
        <v>9</v>
      </c>
      <c r="D507" s="295" t="str">
        <f>"SUBSUMMARY SHEET " &amp; B508</f>
        <v xml:space="preserve">SUBSUMMARY SHEET </v>
      </c>
      <c r="E507" s="295"/>
      <c r="F507" s="295"/>
      <c r="G507" s="295"/>
      <c r="H507" s="295"/>
      <c r="I507" s="295"/>
      <c r="J507" s="295"/>
      <c r="K507" s="295"/>
      <c r="L507" s="295"/>
      <c r="M507" s="295"/>
      <c r="N507" s="295"/>
      <c r="O507" s="295"/>
      <c r="P507" s="295"/>
      <c r="Q507" s="295"/>
      <c r="R507" s="295"/>
      <c r="S507" s="295"/>
      <c r="T507" s="295"/>
      <c r="U507" s="295"/>
      <c r="V507" s="295"/>
      <c r="W507" s="295"/>
      <c r="X507" s="295"/>
      <c r="Y507" s="295"/>
      <c r="Z507" s="295"/>
      <c r="AA507" s="295"/>
      <c r="AB507" s="295"/>
      <c r="AC507" s="295"/>
      <c r="AD507" s="295"/>
      <c r="AE507" s="295"/>
      <c r="AF507" s="295"/>
      <c r="AG507" s="295"/>
      <c r="AH507" s="295"/>
      <c r="AI507" s="295"/>
    </row>
    <row r="508" spans="2:35" ht="12.75" customHeight="1" thickBot="1" x14ac:dyDescent="0.25">
      <c r="B508" s="24"/>
      <c r="D508" s="309" t="s">
        <v>7</v>
      </c>
      <c r="E508" s="309"/>
      <c r="F508" s="309"/>
      <c r="G508" s="309"/>
      <c r="H508" s="309"/>
      <c r="I508" s="309"/>
      <c r="J508" s="309"/>
      <c r="K508" s="19"/>
      <c r="L508" s="19"/>
      <c r="M508" s="19"/>
      <c r="N508" s="19" t="s">
        <v>36</v>
      </c>
      <c r="O508" s="19" t="s">
        <v>36</v>
      </c>
      <c r="P508" s="19" t="s">
        <v>39</v>
      </c>
      <c r="Q508" s="19" t="s">
        <v>40</v>
      </c>
      <c r="R508" s="19" t="s">
        <v>42</v>
      </c>
      <c r="S508" s="19" t="s">
        <v>44</v>
      </c>
      <c r="T508" s="19" t="s">
        <v>47</v>
      </c>
      <c r="U508" s="19" t="s">
        <v>49</v>
      </c>
      <c r="V508" s="19" t="s">
        <v>52</v>
      </c>
      <c r="W508" s="19" t="s">
        <v>53</v>
      </c>
      <c r="X508" s="19" t="s">
        <v>55</v>
      </c>
      <c r="Y508" s="19" t="s">
        <v>57</v>
      </c>
      <c r="Z508" s="19" t="s">
        <v>63</v>
      </c>
      <c r="AA508" s="19" t="s">
        <v>65</v>
      </c>
      <c r="AB508" s="19" t="s">
        <v>70</v>
      </c>
      <c r="AC508" s="19" t="s">
        <v>71</v>
      </c>
      <c r="AD508" s="19" t="s">
        <v>72</v>
      </c>
      <c r="AE508" s="19" t="s">
        <v>73</v>
      </c>
      <c r="AF508" s="19" t="s">
        <v>28</v>
      </c>
      <c r="AG508" s="19" t="s">
        <v>29</v>
      </c>
      <c r="AH508" s="19" t="s">
        <v>30</v>
      </c>
      <c r="AI508" s="19" t="s">
        <v>31</v>
      </c>
    </row>
    <row r="509" spans="2:35" ht="12.75" customHeight="1" thickBot="1" x14ac:dyDescent="0.25">
      <c r="D509" s="310" t="s">
        <v>8</v>
      </c>
      <c r="E509" s="310"/>
      <c r="F509" s="310"/>
      <c r="G509" s="310"/>
      <c r="H509" s="310"/>
      <c r="I509" s="310"/>
      <c r="J509" s="310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</row>
    <row r="510" spans="2:35" ht="12.75" customHeight="1" x14ac:dyDescent="0.2">
      <c r="B510" s="250" t="s">
        <v>10</v>
      </c>
      <c r="D510" s="360" t="s">
        <v>20</v>
      </c>
      <c r="E510" s="360" t="s">
        <v>21</v>
      </c>
      <c r="F510" s="363" t="s">
        <v>0</v>
      </c>
      <c r="G510" s="364"/>
      <c r="H510" s="364"/>
      <c r="I510" s="364"/>
      <c r="J510" s="365"/>
      <c r="K510" s="372" t="s">
        <v>23</v>
      </c>
      <c r="L510" s="7" t="str">
        <f>IF(OR(TRIM(L508)=0,TRIM(L508)=""),"",IF(IFERROR(TRIM(INDEX(QryItemNamed,MATCH(TRIM(L508),ITEM,0),2)),"")="Y","SPECIAL",LEFT(IFERROR(TRIM(INDEX(ITEM,MATCH(TRIM(L508),ITEM,0))),""),3)))</f>
        <v/>
      </c>
      <c r="M510" s="7" t="str">
        <f>IF(OR(TRIM(M508)=0,TRIM(M508)=""),"",IF(IFERROR(TRIM(INDEX(QryItemNamed,MATCH(TRIM(M508),ITEM,0),2)),"")="Y","SPECIAL",LEFT(IFERROR(TRIM(INDEX(ITEM,MATCH(TRIM(M508),ITEM,0))),""),3)))</f>
        <v/>
      </c>
      <c r="N510" s="7">
        <v>644</v>
      </c>
      <c r="O510" s="7">
        <v>644</v>
      </c>
      <c r="P510" s="7">
        <v>644</v>
      </c>
      <c r="Q510" s="7">
        <v>644</v>
      </c>
      <c r="R510" s="7">
        <v>644</v>
      </c>
      <c r="S510" s="7">
        <v>644</v>
      </c>
      <c r="T510" s="7">
        <v>644</v>
      </c>
      <c r="U510" s="7">
        <v>644</v>
      </c>
      <c r="V510" s="7">
        <v>644</v>
      </c>
      <c r="W510" s="7">
        <v>644</v>
      </c>
      <c r="X510" s="7">
        <v>644</v>
      </c>
      <c r="Y510" s="7">
        <v>644</v>
      </c>
      <c r="Z510" s="7">
        <v>644</v>
      </c>
      <c r="AA510" s="7">
        <v>644</v>
      </c>
      <c r="AB510" s="7">
        <v>618</v>
      </c>
      <c r="AC510" s="7" t="str">
        <f t="shared" ref="AC510:AI510" si="24">IF(OR(TRIM(AC508)=0,TRIM(AC508)=""),"",IF(IFERROR(TRIM(INDEX(QryItemNamed,MATCH(TRIM(AC508),ITEM,0),2)),"")="Y","SPECIAL",LEFT(IFERROR(TRIM(INDEX(ITEM,MATCH(TRIM(AC508),ITEM,0))),""),3)))</f>
        <v>618</v>
      </c>
      <c r="AD510" s="7" t="str">
        <f t="shared" si="24"/>
        <v>618</v>
      </c>
      <c r="AE510" s="7" t="str">
        <f t="shared" si="24"/>
        <v>618</v>
      </c>
      <c r="AF510" s="7" t="str">
        <f t="shared" si="24"/>
        <v>630</v>
      </c>
      <c r="AG510" s="7" t="str">
        <f t="shared" si="24"/>
        <v>630</v>
      </c>
      <c r="AH510" s="7" t="str">
        <f t="shared" si="24"/>
        <v>630</v>
      </c>
      <c r="AI510" s="7" t="str">
        <f t="shared" si="24"/>
        <v>630</v>
      </c>
    </row>
    <row r="511" spans="2:35" ht="12.75" customHeight="1" x14ac:dyDescent="0.2">
      <c r="B511" s="251"/>
      <c r="D511" s="361"/>
      <c r="E511" s="361"/>
      <c r="F511" s="366"/>
      <c r="G511" s="367"/>
      <c r="H511" s="367"/>
      <c r="I511" s="367"/>
      <c r="J511" s="368"/>
      <c r="K511" s="373"/>
      <c r="L511" s="375" t="str">
        <f>IF(OR(TRIM(L508)=0,TRIM(L508)=""),IF(L509="","",L509),IF(IFERROR(TRIM(INDEX(QryItemNamed,MATCH(TRIM(L508),ITEM,0),2)),"")="Y",TRIM(RIGHT(IFERROR(TRIM(INDEX(QryItemNamed,MATCH(TRIM(L508),ITEM,0),4)),"123456789012"),LEN(IFERROR(TRIM(INDEX(QryItemNamed,MATCH(TRIM(L508),ITEM,0),4)),"123456789012"))-9))&amp;L509,IFERROR(TRIM(INDEX(QryItemNamed,MATCH(TRIM(L508),ITEM,0),4))&amp;L509,"ITEM CODE DOES NOT EXIST IN ITEM MASTER")))</f>
        <v/>
      </c>
      <c r="M511" s="378" t="str">
        <f>IF(OR(TRIM(M508)=0,TRIM(M508)=""),IF(M509="","",M509),IF(IFERROR(TRIM(INDEX(QryItemNamed,MATCH(TRIM(M508),ITEM,0),2)),"")="Y",TRIM(RIGHT(IFERROR(TRIM(INDEX(QryItemNamed,MATCH(TRIM(M508),ITEM,0),4)),"123456789012"),LEN(IFERROR(TRIM(INDEX(QryItemNamed,MATCH(TRIM(M508),ITEM,0),4)),"123456789012"))-9))&amp;M509,IFERROR(TRIM(INDEX(QryItemNamed,MATCH(TRIM(M508),ITEM,0),4))&amp;M509,"ITEM CODE DOES NOT EXIST IN ITEM MASTER")))</f>
        <v/>
      </c>
      <c r="N511" s="381" t="s">
        <v>37</v>
      </c>
      <c r="O511" s="381" t="s">
        <v>38</v>
      </c>
      <c r="P511" s="381" t="s">
        <v>32</v>
      </c>
      <c r="Q511" s="381" t="s">
        <v>41</v>
      </c>
      <c r="R511" s="381" t="s">
        <v>43</v>
      </c>
      <c r="S511" s="381" t="s">
        <v>45</v>
      </c>
      <c r="T511" s="381" t="s">
        <v>48</v>
      </c>
      <c r="U511" s="381" t="s">
        <v>50</v>
      </c>
      <c r="V511" s="381" t="s">
        <v>59</v>
      </c>
      <c r="W511" s="381" t="s">
        <v>54</v>
      </c>
      <c r="X511" s="381" t="s">
        <v>56</v>
      </c>
      <c r="Y511" s="381" t="s">
        <v>58</v>
      </c>
      <c r="Z511" s="382" t="s">
        <v>64</v>
      </c>
      <c r="AA511" s="383" t="s">
        <v>66</v>
      </c>
      <c r="AB511" s="382" t="s">
        <v>74</v>
      </c>
      <c r="AC511" s="382" t="str">
        <f t="shared" ref="AC511:AI511" si="25">IF(OR(TRIM(AC508)=0,TRIM(AC508)=""),IF(AC509="","",AC509),IF(IFERROR(TRIM(INDEX(QryItemNamed,MATCH(TRIM(AC508),ITEM,0),2)),"")="Y",TRIM(RIGHT(IFERROR(TRIM(INDEX(QryItemNamed,MATCH(TRIM(AC508),ITEM,0),4)),"123456789012"),LEN(IFERROR(TRIM(INDEX(QryItemNamed,MATCH(TRIM(AC508),ITEM,0),4)),"123456789012"))-9))&amp;AC509,IFERROR(TRIM(INDEX(QryItemNamed,MATCH(TRIM(AC508),ITEM,0),4))&amp;AC509,"ITEM CODE DOES NOT EXIST IN ITEM MASTER")))</f>
        <v>RUMBLE STRIPES, EDGE LINE (CONCRETE)</v>
      </c>
      <c r="AD511" s="382" t="str">
        <f t="shared" si="25"/>
        <v>RUMBLE STRIPES, CENTER LINE (ASPHALT CONCRETE)</v>
      </c>
      <c r="AE511" s="382" t="str">
        <f t="shared" si="25"/>
        <v>RUMBLE STRIPES, CENTER LINE (CONCRETE)</v>
      </c>
      <c r="AF511" s="382" t="str">
        <f t="shared" si="25"/>
        <v>GROUND MOUNTED SUPPORT, NO. 3 POST</v>
      </c>
      <c r="AG511" s="382" t="str">
        <f t="shared" si="25"/>
        <v>SIGN, FLAT SHEET</v>
      </c>
      <c r="AH511" s="382" t="str">
        <f t="shared" si="25"/>
        <v>REMOVAL OF GROUND MOUNTED SIGN AND DISPOSAL</v>
      </c>
      <c r="AI511" s="382" t="str">
        <f t="shared" si="25"/>
        <v>REMOVAL OF GROUND MOUNTED POST SUPPORT AND DISPOSAL</v>
      </c>
    </row>
    <row r="512" spans="2:35" ht="12.75" customHeight="1" x14ac:dyDescent="0.2">
      <c r="B512" s="251"/>
      <c r="D512" s="361"/>
      <c r="E512" s="361"/>
      <c r="F512" s="366"/>
      <c r="G512" s="367"/>
      <c r="H512" s="367"/>
      <c r="I512" s="367"/>
      <c r="J512" s="368"/>
      <c r="K512" s="373"/>
      <c r="L512" s="376"/>
      <c r="M512" s="379"/>
      <c r="N512" s="381"/>
      <c r="O512" s="381"/>
      <c r="P512" s="381"/>
      <c r="Q512" s="381"/>
      <c r="R512" s="381"/>
      <c r="S512" s="381"/>
      <c r="T512" s="381"/>
      <c r="U512" s="381"/>
      <c r="V512" s="381"/>
      <c r="W512" s="381"/>
      <c r="X512" s="381"/>
      <c r="Y512" s="381"/>
      <c r="Z512" s="382"/>
      <c r="AA512" s="384"/>
      <c r="AB512" s="382"/>
      <c r="AC512" s="382"/>
      <c r="AD512" s="382"/>
      <c r="AE512" s="382"/>
      <c r="AF512" s="382"/>
      <c r="AG512" s="382"/>
      <c r="AH512" s="382"/>
      <c r="AI512" s="382"/>
    </row>
    <row r="513" spans="2:35" ht="12.75" customHeight="1" x14ac:dyDescent="0.2">
      <c r="B513" s="251"/>
      <c r="D513" s="361"/>
      <c r="E513" s="361"/>
      <c r="F513" s="366"/>
      <c r="G513" s="367"/>
      <c r="H513" s="367"/>
      <c r="I513" s="367"/>
      <c r="J513" s="368"/>
      <c r="K513" s="373"/>
      <c r="L513" s="376"/>
      <c r="M513" s="379"/>
      <c r="N513" s="381"/>
      <c r="O513" s="381"/>
      <c r="P513" s="381"/>
      <c r="Q513" s="381"/>
      <c r="R513" s="381"/>
      <c r="S513" s="381"/>
      <c r="T513" s="381"/>
      <c r="U513" s="381"/>
      <c r="V513" s="381"/>
      <c r="W513" s="381"/>
      <c r="X513" s="381"/>
      <c r="Y513" s="381"/>
      <c r="Z513" s="382"/>
      <c r="AA513" s="384"/>
      <c r="AB513" s="382"/>
      <c r="AC513" s="382"/>
      <c r="AD513" s="382"/>
      <c r="AE513" s="382"/>
      <c r="AF513" s="382"/>
      <c r="AG513" s="382"/>
      <c r="AH513" s="382"/>
      <c r="AI513" s="382"/>
    </row>
    <row r="514" spans="2:35" ht="12.75" customHeight="1" x14ac:dyDescent="0.2">
      <c r="B514" s="251"/>
      <c r="D514" s="361"/>
      <c r="E514" s="361"/>
      <c r="F514" s="366"/>
      <c r="G514" s="367"/>
      <c r="H514" s="367"/>
      <c r="I514" s="367"/>
      <c r="J514" s="368"/>
      <c r="K514" s="373"/>
      <c r="L514" s="376"/>
      <c r="M514" s="379"/>
      <c r="N514" s="381"/>
      <c r="O514" s="381"/>
      <c r="P514" s="381"/>
      <c r="Q514" s="381"/>
      <c r="R514" s="381"/>
      <c r="S514" s="381"/>
      <c r="T514" s="381"/>
      <c r="U514" s="381"/>
      <c r="V514" s="381"/>
      <c r="W514" s="381"/>
      <c r="X514" s="381"/>
      <c r="Y514" s="381"/>
      <c r="Z514" s="382"/>
      <c r="AA514" s="384"/>
      <c r="AB514" s="382"/>
      <c r="AC514" s="382"/>
      <c r="AD514" s="382"/>
      <c r="AE514" s="382"/>
      <c r="AF514" s="382"/>
      <c r="AG514" s="382"/>
      <c r="AH514" s="382"/>
      <c r="AI514" s="382"/>
    </row>
    <row r="515" spans="2:35" ht="12.75" customHeight="1" x14ac:dyDescent="0.2">
      <c r="B515" s="251"/>
      <c r="D515" s="361"/>
      <c r="E515" s="361"/>
      <c r="F515" s="366"/>
      <c r="G515" s="367"/>
      <c r="H515" s="367"/>
      <c r="I515" s="367"/>
      <c r="J515" s="368"/>
      <c r="K515" s="373"/>
      <c r="L515" s="376"/>
      <c r="M515" s="379"/>
      <c r="N515" s="381"/>
      <c r="O515" s="381"/>
      <c r="P515" s="381"/>
      <c r="Q515" s="381"/>
      <c r="R515" s="381"/>
      <c r="S515" s="381"/>
      <c r="T515" s="381"/>
      <c r="U515" s="381"/>
      <c r="V515" s="381"/>
      <c r="W515" s="381"/>
      <c r="X515" s="381"/>
      <c r="Y515" s="381"/>
      <c r="Z515" s="382"/>
      <c r="AA515" s="384"/>
      <c r="AB515" s="382"/>
      <c r="AC515" s="382"/>
      <c r="AD515" s="382"/>
      <c r="AE515" s="382"/>
      <c r="AF515" s="382"/>
      <c r="AG515" s="382"/>
      <c r="AH515" s="382"/>
      <c r="AI515" s="382"/>
    </row>
    <row r="516" spans="2:35" ht="12.75" customHeight="1" x14ac:dyDescent="0.2">
      <c r="B516" s="251"/>
      <c r="D516" s="361"/>
      <c r="E516" s="361"/>
      <c r="F516" s="366"/>
      <c r="G516" s="367"/>
      <c r="H516" s="367"/>
      <c r="I516" s="367"/>
      <c r="J516" s="368"/>
      <c r="K516" s="373"/>
      <c r="L516" s="376"/>
      <c r="M516" s="379"/>
      <c r="N516" s="381"/>
      <c r="O516" s="381"/>
      <c r="P516" s="381"/>
      <c r="Q516" s="381"/>
      <c r="R516" s="381"/>
      <c r="S516" s="381"/>
      <c r="T516" s="381"/>
      <c r="U516" s="381"/>
      <c r="V516" s="381"/>
      <c r="W516" s="381"/>
      <c r="X516" s="381"/>
      <c r="Y516" s="381"/>
      <c r="Z516" s="382"/>
      <c r="AA516" s="384"/>
      <c r="AB516" s="382"/>
      <c r="AC516" s="382"/>
      <c r="AD516" s="382"/>
      <c r="AE516" s="382"/>
      <c r="AF516" s="382"/>
      <c r="AG516" s="382"/>
      <c r="AH516" s="382"/>
      <c r="AI516" s="382"/>
    </row>
    <row r="517" spans="2:35" ht="12.75" customHeight="1" x14ac:dyDescent="0.2">
      <c r="B517" s="251"/>
      <c r="D517" s="361"/>
      <c r="E517" s="361"/>
      <c r="F517" s="366"/>
      <c r="G517" s="367"/>
      <c r="H517" s="367"/>
      <c r="I517" s="367"/>
      <c r="J517" s="368"/>
      <c r="K517" s="373"/>
      <c r="L517" s="376"/>
      <c r="M517" s="379"/>
      <c r="N517" s="381"/>
      <c r="O517" s="381"/>
      <c r="P517" s="381"/>
      <c r="Q517" s="381"/>
      <c r="R517" s="381"/>
      <c r="S517" s="381"/>
      <c r="T517" s="381"/>
      <c r="U517" s="381"/>
      <c r="V517" s="381"/>
      <c r="W517" s="381"/>
      <c r="X517" s="381"/>
      <c r="Y517" s="381"/>
      <c r="Z517" s="382"/>
      <c r="AA517" s="384"/>
      <c r="AB517" s="382"/>
      <c r="AC517" s="382"/>
      <c r="AD517" s="382"/>
      <c r="AE517" s="382"/>
      <c r="AF517" s="382"/>
      <c r="AG517" s="382"/>
      <c r="AH517" s="382"/>
      <c r="AI517" s="382"/>
    </row>
    <row r="518" spans="2:35" ht="12.75" customHeight="1" x14ac:dyDescent="0.2">
      <c r="B518" s="251"/>
      <c r="D518" s="361"/>
      <c r="E518" s="361"/>
      <c r="F518" s="366"/>
      <c r="G518" s="367"/>
      <c r="H518" s="367"/>
      <c r="I518" s="367"/>
      <c r="J518" s="368"/>
      <c r="K518" s="373"/>
      <c r="L518" s="376"/>
      <c r="M518" s="379"/>
      <c r="N518" s="381"/>
      <c r="O518" s="381"/>
      <c r="P518" s="381"/>
      <c r="Q518" s="381"/>
      <c r="R518" s="381"/>
      <c r="S518" s="381"/>
      <c r="T518" s="381"/>
      <c r="U518" s="381"/>
      <c r="V518" s="381"/>
      <c r="W518" s="381"/>
      <c r="X518" s="381"/>
      <c r="Y518" s="381"/>
      <c r="Z518" s="382"/>
      <c r="AA518" s="384"/>
      <c r="AB518" s="382"/>
      <c r="AC518" s="382"/>
      <c r="AD518" s="382"/>
      <c r="AE518" s="382"/>
      <c r="AF518" s="382"/>
      <c r="AG518" s="382"/>
      <c r="AH518" s="382"/>
      <c r="AI518" s="382"/>
    </row>
    <row r="519" spans="2:35" ht="12.75" customHeight="1" x14ac:dyDescent="0.2">
      <c r="B519" s="251"/>
      <c r="D519" s="361"/>
      <c r="E519" s="361"/>
      <c r="F519" s="366"/>
      <c r="G519" s="367"/>
      <c r="H519" s="367"/>
      <c r="I519" s="367"/>
      <c r="J519" s="368"/>
      <c r="K519" s="373"/>
      <c r="L519" s="376"/>
      <c r="M519" s="379"/>
      <c r="N519" s="381"/>
      <c r="O519" s="381"/>
      <c r="P519" s="381"/>
      <c r="Q519" s="381"/>
      <c r="R519" s="381"/>
      <c r="S519" s="381"/>
      <c r="T519" s="381"/>
      <c r="U519" s="381"/>
      <c r="V519" s="381"/>
      <c r="W519" s="381"/>
      <c r="X519" s="381"/>
      <c r="Y519" s="381"/>
      <c r="Z519" s="382"/>
      <c r="AA519" s="384"/>
      <c r="AB519" s="382"/>
      <c r="AC519" s="382"/>
      <c r="AD519" s="382"/>
      <c r="AE519" s="382"/>
      <c r="AF519" s="382"/>
      <c r="AG519" s="382"/>
      <c r="AH519" s="382"/>
      <c r="AI519" s="382"/>
    </row>
    <row r="520" spans="2:35" ht="12.75" customHeight="1" x14ac:dyDescent="0.2">
      <c r="B520" s="251"/>
      <c r="D520" s="361"/>
      <c r="E520" s="361"/>
      <c r="F520" s="366"/>
      <c r="G520" s="367"/>
      <c r="H520" s="367"/>
      <c r="I520" s="367"/>
      <c r="J520" s="368"/>
      <c r="K520" s="373"/>
      <c r="L520" s="376"/>
      <c r="M520" s="379"/>
      <c r="N520" s="381"/>
      <c r="O520" s="381"/>
      <c r="P520" s="381"/>
      <c r="Q520" s="381"/>
      <c r="R520" s="381"/>
      <c r="S520" s="381"/>
      <c r="T520" s="381"/>
      <c r="U520" s="381"/>
      <c r="V520" s="381"/>
      <c r="W520" s="381"/>
      <c r="X520" s="381"/>
      <c r="Y520" s="381"/>
      <c r="Z520" s="382"/>
      <c r="AA520" s="384"/>
      <c r="AB520" s="382"/>
      <c r="AC520" s="382"/>
      <c r="AD520" s="382"/>
      <c r="AE520" s="382"/>
      <c r="AF520" s="382"/>
      <c r="AG520" s="382"/>
      <c r="AH520" s="382"/>
      <c r="AI520" s="382"/>
    </row>
    <row r="521" spans="2:35" ht="12.75" customHeight="1" x14ac:dyDescent="0.2">
      <c r="B521" s="251"/>
      <c r="D521" s="361"/>
      <c r="E521" s="361"/>
      <c r="F521" s="366"/>
      <c r="G521" s="367"/>
      <c r="H521" s="367"/>
      <c r="I521" s="367"/>
      <c r="J521" s="368"/>
      <c r="K521" s="373"/>
      <c r="L521" s="376"/>
      <c r="M521" s="379"/>
      <c r="N521" s="381"/>
      <c r="O521" s="381"/>
      <c r="P521" s="381"/>
      <c r="Q521" s="381"/>
      <c r="R521" s="381"/>
      <c r="S521" s="381"/>
      <c r="T521" s="381"/>
      <c r="U521" s="381"/>
      <c r="V521" s="381"/>
      <c r="W521" s="381"/>
      <c r="X521" s="381"/>
      <c r="Y521" s="381"/>
      <c r="Z521" s="382"/>
      <c r="AA521" s="384"/>
      <c r="AB521" s="382"/>
      <c r="AC521" s="382"/>
      <c r="AD521" s="382"/>
      <c r="AE521" s="382"/>
      <c r="AF521" s="382"/>
      <c r="AG521" s="382"/>
      <c r="AH521" s="382"/>
      <c r="AI521" s="382"/>
    </row>
    <row r="522" spans="2:35" ht="12.75" customHeight="1" x14ac:dyDescent="0.2">
      <c r="B522" s="251"/>
      <c r="D522" s="361"/>
      <c r="E522" s="361"/>
      <c r="F522" s="366"/>
      <c r="G522" s="367"/>
      <c r="H522" s="367"/>
      <c r="I522" s="367"/>
      <c r="J522" s="368"/>
      <c r="K522" s="373"/>
      <c r="L522" s="377"/>
      <c r="M522" s="380"/>
      <c r="N522" s="381"/>
      <c r="O522" s="381"/>
      <c r="P522" s="381"/>
      <c r="Q522" s="381"/>
      <c r="R522" s="381"/>
      <c r="S522" s="381"/>
      <c r="T522" s="381"/>
      <c r="U522" s="381"/>
      <c r="V522" s="381"/>
      <c r="W522" s="381"/>
      <c r="X522" s="381"/>
      <c r="Y522" s="381"/>
      <c r="Z522" s="382"/>
      <c r="AA522" s="385"/>
      <c r="AB522" s="382"/>
      <c r="AC522" s="382"/>
      <c r="AD522" s="382"/>
      <c r="AE522" s="382"/>
      <c r="AF522" s="382"/>
      <c r="AG522" s="382"/>
      <c r="AH522" s="382"/>
      <c r="AI522" s="382"/>
    </row>
    <row r="523" spans="2:35" ht="12.75" customHeight="1" thickBot="1" x14ac:dyDescent="0.25">
      <c r="B523" s="252"/>
      <c r="D523" s="362"/>
      <c r="E523" s="362"/>
      <c r="F523" s="369"/>
      <c r="G523" s="370"/>
      <c r="H523" s="370"/>
      <c r="I523" s="370"/>
      <c r="J523" s="371"/>
      <c r="K523" s="374"/>
      <c r="L523" s="8" t="str">
        <f t="shared" ref="L523:Q523" si="26">IF(OR(TRIM(L508)=0,TRIM(L508)=""),"",IFERROR(TRIM(INDEX(QryItemNamed,MATCH(TRIM(L508),ITEM,0),3)),""))</f>
        <v/>
      </c>
      <c r="M523" s="8" t="str">
        <f t="shared" si="26"/>
        <v/>
      </c>
      <c r="N523" s="8" t="str">
        <f t="shared" si="26"/>
        <v>MILE</v>
      </c>
      <c r="O523" s="8" t="str">
        <f t="shared" si="26"/>
        <v>MILE</v>
      </c>
      <c r="P523" s="8" t="str">
        <f t="shared" si="26"/>
        <v>MILE</v>
      </c>
      <c r="Q523" s="8" t="str">
        <f t="shared" si="26"/>
        <v>FT</v>
      </c>
      <c r="R523" s="8" t="s">
        <v>46</v>
      </c>
      <c r="S523" s="8" t="s">
        <v>46</v>
      </c>
      <c r="T523" s="8" t="s">
        <v>46</v>
      </c>
      <c r="U523" s="8" t="s">
        <v>51</v>
      </c>
      <c r="V523" s="8" t="s">
        <v>51</v>
      </c>
      <c r="W523" s="8" t="s">
        <v>51</v>
      </c>
      <c r="X523" s="8" t="str">
        <f>IF(OR(TRIM(X508)=0,TRIM(X508)=""),"",IFERROR(TRIM(INDEX(QryItemNamed,MATCH(TRIM(X508),ITEM,0),3)),""))</f>
        <v>FT</v>
      </c>
      <c r="Y523" s="8" t="s">
        <v>46</v>
      </c>
      <c r="Z523" s="8" t="str">
        <f t="shared" ref="Z523:AI523" si="27">IF(OR(TRIM(Z508)=0,TRIM(Z508)=""),"",IFERROR(TRIM(INDEX(QryItemNamed,MATCH(TRIM(Z508),ITEM,0),3)),""))</f>
        <v>FT</v>
      </c>
      <c r="AA523" s="8" t="str">
        <f t="shared" si="27"/>
        <v>EACH</v>
      </c>
      <c r="AB523" s="8" t="str">
        <f>IF(OR(TRIM(AB508)=0,TRIM(AB508)=""),"",IFERROR(TRIM(INDEX(QryItemNamed,MATCH(TRIM(AB508),ITEM,0),3)),""))</f>
        <v>MILE</v>
      </c>
      <c r="AC523" s="8" t="str">
        <f>IF(OR(TRIM(AC508)=0,TRIM(AC508)=""),"",IFERROR(TRIM(INDEX(QryItemNamed,MATCH(TRIM(AC508),ITEM,0),3)),""))</f>
        <v>MILE</v>
      </c>
      <c r="AD523" s="8" t="str">
        <f>IF(OR(TRIM(AD508)=0,TRIM(AD508)=""),"",IFERROR(TRIM(INDEX(QryItemNamed,MATCH(TRIM(AD508),ITEM,0),3)),""))</f>
        <v>MILE</v>
      </c>
      <c r="AE523" s="8" t="str">
        <f>IF(OR(TRIM(AE508)=0,TRIM(AE508)=""),"",IFERROR(TRIM(INDEX(QryItemNamed,MATCH(TRIM(AE508),ITEM,0),3)),""))</f>
        <v>MILE</v>
      </c>
      <c r="AF523" s="8" t="str">
        <f t="shared" si="27"/>
        <v>FT</v>
      </c>
      <c r="AG523" s="8" t="str">
        <f t="shared" si="27"/>
        <v>SF</v>
      </c>
      <c r="AH523" s="8" t="str">
        <f t="shared" si="27"/>
        <v>EACH</v>
      </c>
      <c r="AI523" s="8" t="str">
        <f t="shared" si="27"/>
        <v>EACH</v>
      </c>
    </row>
    <row r="524" spans="2:35" ht="12.75" customHeight="1" x14ac:dyDescent="0.2">
      <c r="B524" s="21"/>
      <c r="D524" s="37" t="s">
        <v>421</v>
      </c>
      <c r="E524" s="37">
        <v>11</v>
      </c>
      <c r="F524" s="386">
        <v>64896</v>
      </c>
      <c r="G524" s="387"/>
      <c r="H524" s="11"/>
      <c r="I524" s="354" t="s">
        <v>98</v>
      </c>
      <c r="J524" s="356"/>
      <c r="K524" s="38" t="s">
        <v>24</v>
      </c>
      <c r="L524" s="37"/>
      <c r="M524" s="37"/>
      <c r="N524" s="37"/>
      <c r="O524" s="37"/>
      <c r="P524" s="43"/>
      <c r="Q524" s="3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11">
        <f>3.5+7+3</f>
        <v>13.5</v>
      </c>
      <c r="AG524" s="11">
        <f>(3*3)-(4*0.5)</f>
        <v>7</v>
      </c>
      <c r="AH524" s="9"/>
      <c r="AI524" s="9"/>
    </row>
    <row r="525" spans="2:35" ht="12.75" customHeight="1" x14ac:dyDescent="0.2">
      <c r="B525" s="21"/>
      <c r="D525" s="11" t="s">
        <v>422</v>
      </c>
      <c r="E525" s="11">
        <v>11</v>
      </c>
      <c r="F525" s="343">
        <v>64896</v>
      </c>
      <c r="G525" s="343"/>
      <c r="H525" s="13"/>
      <c r="I525" s="350" t="s">
        <v>98</v>
      </c>
      <c r="J525" s="350"/>
      <c r="K525" s="11" t="s">
        <v>24</v>
      </c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35"/>
      <c r="AE525" s="11"/>
      <c r="AF525" s="11"/>
      <c r="AG525" s="11"/>
      <c r="AH525" s="11">
        <v>1</v>
      </c>
      <c r="AI525" s="11">
        <v>1</v>
      </c>
    </row>
    <row r="526" spans="2:35" ht="12.75" customHeight="1" x14ac:dyDescent="0.2">
      <c r="B526" s="22"/>
      <c r="D526" s="11" t="s">
        <v>423</v>
      </c>
      <c r="E526" s="11">
        <v>13</v>
      </c>
      <c r="F526" s="343">
        <v>65890</v>
      </c>
      <c r="G526" s="343"/>
      <c r="H526" s="11"/>
      <c r="I526" s="344" t="s">
        <v>105</v>
      </c>
      <c r="J526" s="345"/>
      <c r="K526" s="11" t="s">
        <v>24</v>
      </c>
      <c r="L526" s="11"/>
      <c r="M526" s="11"/>
      <c r="N526" s="11"/>
      <c r="O526" s="11"/>
      <c r="P526" s="35"/>
      <c r="Q526" s="32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>
        <f>3.5+7+1</f>
        <v>11.5</v>
      </c>
      <c r="AG526" s="11">
        <f>1*1</f>
        <v>1</v>
      </c>
      <c r="AH526" s="11"/>
      <c r="AI526" s="11"/>
    </row>
    <row r="527" spans="2:35" ht="12.75" customHeight="1" x14ac:dyDescent="0.2">
      <c r="B527" s="22"/>
      <c r="D527" s="11" t="s">
        <v>427</v>
      </c>
      <c r="E527" s="11">
        <v>13</v>
      </c>
      <c r="F527" s="343">
        <v>65890</v>
      </c>
      <c r="G527" s="343"/>
      <c r="H527" s="11"/>
      <c r="I527" s="344"/>
      <c r="J527" s="345"/>
      <c r="K527" s="11" t="s">
        <v>24</v>
      </c>
      <c r="L527" s="11"/>
      <c r="M527" s="11"/>
      <c r="N527" s="11"/>
      <c r="O527" s="11"/>
      <c r="P527" s="11"/>
      <c r="Q527" s="32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>
        <v>1</v>
      </c>
      <c r="AI527" s="11">
        <v>1</v>
      </c>
    </row>
    <row r="528" spans="2:35" ht="12.75" customHeight="1" x14ac:dyDescent="0.2">
      <c r="B528" s="22"/>
      <c r="D528" s="40" t="s">
        <v>424</v>
      </c>
      <c r="E528" s="40">
        <v>13</v>
      </c>
      <c r="F528" s="346">
        <v>65982</v>
      </c>
      <c r="G528" s="347"/>
      <c r="H528" s="40"/>
      <c r="I528" s="344" t="s">
        <v>105</v>
      </c>
      <c r="J528" s="345"/>
      <c r="K528" s="41" t="s">
        <v>25</v>
      </c>
      <c r="L528" s="40"/>
      <c r="M528" s="40"/>
      <c r="N528" s="40"/>
      <c r="O528" s="40"/>
      <c r="P528" s="40"/>
      <c r="Q528" s="42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>
        <f>3.5+7+1</f>
        <v>11.5</v>
      </c>
      <c r="AG528" s="11">
        <f>1*1</f>
        <v>1</v>
      </c>
      <c r="AH528" s="11"/>
      <c r="AI528" s="11"/>
    </row>
    <row r="529" spans="2:35" ht="12.75" customHeight="1" x14ac:dyDescent="0.2">
      <c r="B529" s="22"/>
      <c r="D529" s="11" t="s">
        <v>425</v>
      </c>
      <c r="E529" s="11">
        <v>13</v>
      </c>
      <c r="F529" s="337">
        <v>66012</v>
      </c>
      <c r="G529" s="339"/>
      <c r="H529" s="11"/>
      <c r="I529" s="344" t="s">
        <v>106</v>
      </c>
      <c r="J529" s="345"/>
      <c r="K529" s="13" t="s">
        <v>24</v>
      </c>
      <c r="L529" s="11"/>
      <c r="M529" s="11"/>
      <c r="N529" s="11"/>
      <c r="O529" s="11"/>
      <c r="P529" s="11"/>
      <c r="Q529" s="32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>
        <f>3.5+7+4.5</f>
        <v>15</v>
      </c>
      <c r="AG529" s="6">
        <f>3*3</f>
        <v>9</v>
      </c>
      <c r="AH529" s="11"/>
      <c r="AI529" s="11"/>
    </row>
    <row r="530" spans="2:35" ht="12.75" customHeight="1" x14ac:dyDescent="0.2">
      <c r="B530" s="22"/>
      <c r="D530" s="11" t="s">
        <v>426</v>
      </c>
      <c r="E530" s="11">
        <v>13</v>
      </c>
      <c r="F530" s="337">
        <v>66137</v>
      </c>
      <c r="G530" s="339"/>
      <c r="H530" s="11"/>
      <c r="I530" s="344" t="s">
        <v>107</v>
      </c>
      <c r="J530" s="345"/>
      <c r="K530" s="13" t="s">
        <v>24</v>
      </c>
      <c r="L530" s="11"/>
      <c r="M530" s="11"/>
      <c r="N530" s="11"/>
      <c r="O530" s="11"/>
      <c r="P530" s="11"/>
      <c r="Q530" s="32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>
        <f>3.5+7+2</f>
        <v>12.5</v>
      </c>
      <c r="AG530" s="11">
        <f>1.5*2</f>
        <v>3</v>
      </c>
      <c r="AH530" s="11"/>
      <c r="AI530" s="11"/>
    </row>
    <row r="531" spans="2:35" ht="12.75" customHeight="1" x14ac:dyDescent="0.2">
      <c r="B531" s="22"/>
      <c r="D531" s="11"/>
      <c r="E531" s="11">
        <v>13</v>
      </c>
      <c r="F531" s="337">
        <v>66137</v>
      </c>
      <c r="G531" s="339"/>
      <c r="H531" s="11"/>
      <c r="I531" s="344" t="s">
        <v>108</v>
      </c>
      <c r="J531" s="345"/>
      <c r="K531" s="13" t="s">
        <v>24</v>
      </c>
      <c r="L531" s="11"/>
      <c r="M531" s="11"/>
      <c r="N531" s="11"/>
      <c r="O531" s="11"/>
      <c r="P531" s="11"/>
      <c r="Q531" s="32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>
        <f>1.5*2</f>
        <v>3</v>
      </c>
      <c r="AH531" s="11"/>
      <c r="AI531" s="11"/>
    </row>
    <row r="532" spans="2:35" ht="12.75" customHeight="1" x14ac:dyDescent="0.2">
      <c r="B532" s="22"/>
      <c r="D532" s="11" t="s">
        <v>428</v>
      </c>
      <c r="E532" s="11">
        <v>14</v>
      </c>
      <c r="F532" s="337">
        <v>66162</v>
      </c>
      <c r="G532" s="339"/>
      <c r="H532" s="11"/>
      <c r="I532" s="344" t="s">
        <v>109</v>
      </c>
      <c r="J532" s="345"/>
      <c r="K532" s="13" t="s">
        <v>25</v>
      </c>
      <c r="L532" s="11"/>
      <c r="M532" s="11"/>
      <c r="N532" s="11"/>
      <c r="O532" s="11"/>
      <c r="P532" s="11"/>
      <c r="Q532" s="32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>
        <f>3.5+7+2.5</f>
        <v>13</v>
      </c>
      <c r="AG532" s="11">
        <f>2*2.5</f>
        <v>5</v>
      </c>
      <c r="AH532" s="11"/>
      <c r="AI532" s="11"/>
    </row>
    <row r="533" spans="2:35" ht="12.75" customHeight="1" x14ac:dyDescent="0.2">
      <c r="B533" s="22"/>
      <c r="D533" s="11" t="s">
        <v>429</v>
      </c>
      <c r="E533" s="11">
        <v>14</v>
      </c>
      <c r="F533" s="337">
        <v>66258</v>
      </c>
      <c r="G533" s="339"/>
      <c r="H533" s="11"/>
      <c r="I533" s="344" t="s">
        <v>108</v>
      </c>
      <c r="J533" s="345"/>
      <c r="K533" s="13" t="s">
        <v>24</v>
      </c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>
        <f>3.5+7+2</f>
        <v>12.5</v>
      </c>
      <c r="AG533" s="11">
        <f t="shared" ref="AG533:AG540" si="28">1.5*2</f>
        <v>3</v>
      </c>
      <c r="AH533" s="11"/>
      <c r="AI533" s="11"/>
    </row>
    <row r="534" spans="2:35" ht="12.75" customHeight="1" x14ac:dyDescent="0.2">
      <c r="B534" s="22"/>
      <c r="D534" s="11"/>
      <c r="E534" s="11">
        <v>14</v>
      </c>
      <c r="F534" s="337">
        <v>66258</v>
      </c>
      <c r="G534" s="339"/>
      <c r="H534" s="11"/>
      <c r="I534" s="344" t="s">
        <v>107</v>
      </c>
      <c r="J534" s="345"/>
      <c r="K534" s="13" t="s">
        <v>24</v>
      </c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>
        <f t="shared" si="28"/>
        <v>3</v>
      </c>
      <c r="AH534" s="11"/>
      <c r="AI534" s="11"/>
    </row>
    <row r="535" spans="2:35" ht="12.75" customHeight="1" x14ac:dyDescent="0.2">
      <c r="B535" s="22"/>
      <c r="D535" s="11" t="s">
        <v>430</v>
      </c>
      <c r="E535" s="11">
        <v>14</v>
      </c>
      <c r="F535" s="337">
        <v>66378</v>
      </c>
      <c r="G535" s="339"/>
      <c r="H535" s="11"/>
      <c r="I535" s="344" t="s">
        <v>108</v>
      </c>
      <c r="J535" s="345"/>
      <c r="K535" s="13" t="s">
        <v>24</v>
      </c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>
        <f>3.5+7+2</f>
        <v>12.5</v>
      </c>
      <c r="AG535" s="11">
        <f t="shared" si="28"/>
        <v>3</v>
      </c>
      <c r="AH535" s="11"/>
      <c r="AI535" s="11"/>
    </row>
    <row r="536" spans="2:35" ht="12.75" customHeight="1" x14ac:dyDescent="0.2">
      <c r="B536" s="22"/>
      <c r="D536" s="11"/>
      <c r="E536" s="11">
        <v>14</v>
      </c>
      <c r="F536" s="337">
        <v>66378</v>
      </c>
      <c r="G536" s="339"/>
      <c r="H536" s="11"/>
      <c r="I536" s="344" t="s">
        <v>107</v>
      </c>
      <c r="J536" s="345"/>
      <c r="K536" s="13" t="s">
        <v>24</v>
      </c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>
        <f t="shared" si="28"/>
        <v>3</v>
      </c>
      <c r="AH536" s="11"/>
      <c r="AI536" s="11"/>
    </row>
    <row r="537" spans="2:35" ht="12.75" customHeight="1" x14ac:dyDescent="0.2">
      <c r="B537" s="22"/>
      <c r="D537" s="11" t="s">
        <v>431</v>
      </c>
      <c r="E537" s="11">
        <v>14</v>
      </c>
      <c r="F537" s="337">
        <v>66498</v>
      </c>
      <c r="G537" s="339"/>
      <c r="H537" s="11"/>
      <c r="I537" s="344" t="s">
        <v>108</v>
      </c>
      <c r="J537" s="345"/>
      <c r="K537" s="13" t="s">
        <v>24</v>
      </c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32"/>
      <c r="Y537" s="11"/>
      <c r="Z537" s="11"/>
      <c r="AA537" s="11"/>
      <c r="AB537" s="11"/>
      <c r="AC537" s="11"/>
      <c r="AD537" s="11"/>
      <c r="AE537" s="11"/>
      <c r="AF537" s="11">
        <f>3.5+7+2</f>
        <v>12.5</v>
      </c>
      <c r="AG537" s="11">
        <f t="shared" si="28"/>
        <v>3</v>
      </c>
      <c r="AH537" s="11"/>
      <c r="AI537" s="11"/>
    </row>
    <row r="538" spans="2:35" ht="12.75" customHeight="1" x14ac:dyDescent="0.2">
      <c r="B538" s="22"/>
      <c r="D538" s="11"/>
      <c r="E538" s="11">
        <v>14</v>
      </c>
      <c r="F538" s="337">
        <v>66498</v>
      </c>
      <c r="G538" s="339"/>
      <c r="H538" s="11"/>
      <c r="I538" s="344" t="s">
        <v>107</v>
      </c>
      <c r="J538" s="345"/>
      <c r="K538" s="13" t="s">
        <v>24</v>
      </c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>
        <f t="shared" si="28"/>
        <v>3</v>
      </c>
      <c r="AH538" s="11"/>
      <c r="AI538" s="11"/>
    </row>
    <row r="539" spans="2:35" ht="12.75" customHeight="1" x14ac:dyDescent="0.2">
      <c r="B539" s="22"/>
      <c r="D539" s="11" t="s">
        <v>432</v>
      </c>
      <c r="E539" s="11">
        <v>14</v>
      </c>
      <c r="F539" s="337">
        <v>66618</v>
      </c>
      <c r="G539" s="339"/>
      <c r="H539" s="11"/>
      <c r="I539" s="344" t="s">
        <v>108</v>
      </c>
      <c r="J539" s="345"/>
      <c r="K539" s="13" t="s">
        <v>24</v>
      </c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>
        <f>3.5+7+2</f>
        <v>12.5</v>
      </c>
      <c r="AG539" s="11">
        <f t="shared" si="28"/>
        <v>3</v>
      </c>
      <c r="AH539" s="11"/>
      <c r="AI539" s="11"/>
    </row>
    <row r="540" spans="2:35" ht="12.75" customHeight="1" x14ac:dyDescent="0.2">
      <c r="B540" s="22"/>
      <c r="D540" s="11"/>
      <c r="E540" s="11">
        <v>14</v>
      </c>
      <c r="F540" s="337">
        <v>66618</v>
      </c>
      <c r="G540" s="339"/>
      <c r="H540" s="11"/>
      <c r="I540" s="344" t="s">
        <v>107</v>
      </c>
      <c r="J540" s="345"/>
      <c r="K540" s="13" t="s">
        <v>24</v>
      </c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>
        <f t="shared" si="28"/>
        <v>3</v>
      </c>
      <c r="AH540" s="11"/>
      <c r="AI540" s="11"/>
    </row>
    <row r="541" spans="2:35" ht="12.75" customHeight="1" x14ac:dyDescent="0.2">
      <c r="B541" s="22"/>
      <c r="D541" s="11" t="s">
        <v>433</v>
      </c>
      <c r="E541" s="11">
        <v>15</v>
      </c>
      <c r="F541" s="337">
        <v>66739</v>
      </c>
      <c r="G541" s="339"/>
      <c r="H541" s="11"/>
      <c r="I541" s="344" t="s">
        <v>108</v>
      </c>
      <c r="J541" s="345"/>
      <c r="K541" s="13" t="s">
        <v>24</v>
      </c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>
        <f>3.5+7+2</f>
        <v>12.5</v>
      </c>
      <c r="AG541" s="11">
        <f t="shared" ref="AG541:AG564" si="29">1.5*2</f>
        <v>3</v>
      </c>
      <c r="AH541" s="11"/>
      <c r="AI541" s="11"/>
    </row>
    <row r="542" spans="2:35" ht="12.75" customHeight="1" x14ac:dyDescent="0.2">
      <c r="B542" s="22"/>
      <c r="D542" s="11"/>
      <c r="E542" s="11">
        <v>15</v>
      </c>
      <c r="F542" s="337">
        <v>66739</v>
      </c>
      <c r="G542" s="339"/>
      <c r="H542" s="11"/>
      <c r="I542" s="344" t="s">
        <v>107</v>
      </c>
      <c r="J542" s="345"/>
      <c r="K542" s="13" t="s">
        <v>24</v>
      </c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>
        <f t="shared" si="29"/>
        <v>3</v>
      </c>
      <c r="AH542" s="11"/>
      <c r="AI542" s="11"/>
    </row>
    <row r="543" spans="2:35" ht="12.75" customHeight="1" x14ac:dyDescent="0.2">
      <c r="B543" s="22"/>
      <c r="D543" s="11" t="s">
        <v>434</v>
      </c>
      <c r="E543" s="11">
        <v>15</v>
      </c>
      <c r="F543" s="337">
        <v>66859</v>
      </c>
      <c r="G543" s="339"/>
      <c r="H543" s="11"/>
      <c r="I543" s="344" t="s">
        <v>108</v>
      </c>
      <c r="J543" s="345"/>
      <c r="K543" s="13" t="s">
        <v>24</v>
      </c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>
        <f t="shared" ref="AF543:AF563" si="30">3.5+7+2</f>
        <v>12.5</v>
      </c>
      <c r="AG543" s="11">
        <f t="shared" si="29"/>
        <v>3</v>
      </c>
      <c r="AH543" s="11"/>
      <c r="AI543" s="11"/>
    </row>
    <row r="544" spans="2:35" ht="12.75" customHeight="1" x14ac:dyDescent="0.2">
      <c r="B544" s="22"/>
      <c r="D544" s="11"/>
      <c r="E544" s="11">
        <v>15</v>
      </c>
      <c r="F544" s="337">
        <v>66859</v>
      </c>
      <c r="G544" s="339"/>
      <c r="H544" s="11"/>
      <c r="I544" s="344" t="s">
        <v>107</v>
      </c>
      <c r="J544" s="345"/>
      <c r="K544" s="13" t="s">
        <v>24</v>
      </c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>
        <f t="shared" si="29"/>
        <v>3</v>
      </c>
      <c r="AH544" s="11"/>
      <c r="AI544" s="11"/>
    </row>
    <row r="545" spans="2:35" ht="12.75" customHeight="1" x14ac:dyDescent="0.2">
      <c r="B545" s="22"/>
      <c r="D545" s="11" t="s">
        <v>435</v>
      </c>
      <c r="E545" s="11">
        <v>15</v>
      </c>
      <c r="F545" s="337">
        <v>66979</v>
      </c>
      <c r="G545" s="339"/>
      <c r="H545" s="11"/>
      <c r="I545" s="344" t="s">
        <v>110</v>
      </c>
      <c r="J545" s="345"/>
      <c r="K545" s="13" t="s">
        <v>24</v>
      </c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>
        <f t="shared" si="30"/>
        <v>12.5</v>
      </c>
      <c r="AG545" s="11">
        <f t="shared" si="29"/>
        <v>3</v>
      </c>
      <c r="AH545" s="11"/>
      <c r="AI545" s="11"/>
    </row>
    <row r="546" spans="2:35" ht="12.75" customHeight="1" x14ac:dyDescent="0.2">
      <c r="B546" s="22"/>
      <c r="D546" s="11"/>
      <c r="E546" s="11">
        <v>15</v>
      </c>
      <c r="F546" s="337">
        <v>66979</v>
      </c>
      <c r="G546" s="339"/>
      <c r="H546" s="11"/>
      <c r="I546" s="344" t="s">
        <v>111</v>
      </c>
      <c r="J546" s="345"/>
      <c r="K546" s="13" t="s">
        <v>24</v>
      </c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>
        <f t="shared" si="29"/>
        <v>3</v>
      </c>
      <c r="AH546" s="11"/>
      <c r="AI546" s="11"/>
    </row>
    <row r="547" spans="2:35" ht="12.75" customHeight="1" x14ac:dyDescent="0.2">
      <c r="B547" s="22"/>
      <c r="D547" s="11" t="s">
        <v>436</v>
      </c>
      <c r="E547" s="11">
        <v>15</v>
      </c>
      <c r="F547" s="337">
        <v>67099</v>
      </c>
      <c r="G547" s="339"/>
      <c r="H547" s="11"/>
      <c r="I547" s="344" t="s">
        <v>112</v>
      </c>
      <c r="J547" s="345"/>
      <c r="K547" s="13" t="s">
        <v>24</v>
      </c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>
        <f t="shared" si="30"/>
        <v>12.5</v>
      </c>
      <c r="AG547" s="11">
        <f t="shared" si="29"/>
        <v>3</v>
      </c>
      <c r="AH547" s="11"/>
      <c r="AI547" s="11"/>
    </row>
    <row r="548" spans="2:35" ht="12.75" customHeight="1" x14ac:dyDescent="0.2">
      <c r="B548" s="22"/>
      <c r="D548" s="11"/>
      <c r="E548" s="11">
        <v>15</v>
      </c>
      <c r="F548" s="337">
        <v>67099</v>
      </c>
      <c r="G548" s="339"/>
      <c r="H548" s="11"/>
      <c r="I548" s="344" t="s">
        <v>113</v>
      </c>
      <c r="J548" s="345"/>
      <c r="K548" s="13" t="s">
        <v>24</v>
      </c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>
        <f t="shared" si="29"/>
        <v>3</v>
      </c>
      <c r="AH548" s="11"/>
      <c r="AI548" s="11"/>
    </row>
    <row r="549" spans="2:35" ht="12.75" customHeight="1" x14ac:dyDescent="0.2">
      <c r="B549" s="22"/>
      <c r="D549" s="11" t="s">
        <v>437</v>
      </c>
      <c r="E549" s="11">
        <v>16</v>
      </c>
      <c r="F549" s="337">
        <v>67250</v>
      </c>
      <c r="G549" s="339"/>
      <c r="H549" s="11"/>
      <c r="I549" s="344" t="s">
        <v>107</v>
      </c>
      <c r="J549" s="345"/>
      <c r="K549" s="13" t="s">
        <v>25</v>
      </c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32"/>
      <c r="Y549" s="11"/>
      <c r="Z549" s="11"/>
      <c r="AA549" s="11"/>
      <c r="AB549" s="11"/>
      <c r="AC549" s="11"/>
      <c r="AD549" s="11"/>
      <c r="AE549" s="11"/>
      <c r="AF549" s="11">
        <f t="shared" si="30"/>
        <v>12.5</v>
      </c>
      <c r="AG549" s="11">
        <f t="shared" si="29"/>
        <v>3</v>
      </c>
      <c r="AH549" s="11"/>
      <c r="AI549" s="11"/>
    </row>
    <row r="550" spans="2:35" ht="12.75" customHeight="1" x14ac:dyDescent="0.2">
      <c r="B550" s="22"/>
      <c r="D550" s="11"/>
      <c r="E550" s="11">
        <v>16</v>
      </c>
      <c r="F550" s="337">
        <v>67250</v>
      </c>
      <c r="G550" s="339"/>
      <c r="H550" s="11"/>
      <c r="I550" s="344" t="s">
        <v>108</v>
      </c>
      <c r="J550" s="345"/>
      <c r="K550" s="13" t="s">
        <v>25</v>
      </c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32"/>
      <c r="Y550" s="11"/>
      <c r="Z550" s="11"/>
      <c r="AA550" s="11"/>
      <c r="AB550" s="11"/>
      <c r="AC550" s="11"/>
      <c r="AD550" s="11"/>
      <c r="AE550" s="11"/>
      <c r="AF550" s="11"/>
      <c r="AG550" s="11">
        <f t="shared" si="29"/>
        <v>3</v>
      </c>
      <c r="AH550" s="11"/>
      <c r="AI550" s="11"/>
    </row>
    <row r="551" spans="2:35" ht="12.75" customHeight="1" x14ac:dyDescent="0.2">
      <c r="B551" s="22"/>
      <c r="D551" s="11" t="s">
        <v>438</v>
      </c>
      <c r="E551" s="11">
        <v>16</v>
      </c>
      <c r="F551" s="337">
        <v>67347</v>
      </c>
      <c r="G551" s="339"/>
      <c r="H551" s="11"/>
      <c r="I551" s="344" t="s">
        <v>107</v>
      </c>
      <c r="J551" s="345"/>
      <c r="K551" s="13" t="s">
        <v>25</v>
      </c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>
        <f t="shared" si="30"/>
        <v>12.5</v>
      </c>
      <c r="AG551" s="11">
        <f t="shared" si="29"/>
        <v>3</v>
      </c>
      <c r="AH551" s="11"/>
      <c r="AI551" s="11"/>
    </row>
    <row r="552" spans="2:35" ht="12.75" customHeight="1" x14ac:dyDescent="0.2">
      <c r="B552" s="22"/>
      <c r="D552" s="11"/>
      <c r="E552" s="11">
        <v>16</v>
      </c>
      <c r="F552" s="337">
        <v>67347</v>
      </c>
      <c r="G552" s="339"/>
      <c r="H552" s="11"/>
      <c r="I552" s="344" t="s">
        <v>108</v>
      </c>
      <c r="J552" s="345"/>
      <c r="K552" s="13" t="s">
        <v>25</v>
      </c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>
        <f t="shared" si="29"/>
        <v>3</v>
      </c>
      <c r="AH552" s="11"/>
      <c r="AI552" s="11"/>
    </row>
    <row r="553" spans="2:35" ht="12.75" customHeight="1" x14ac:dyDescent="0.2">
      <c r="B553" s="22"/>
      <c r="D553" s="11" t="s">
        <v>439</v>
      </c>
      <c r="E553" s="11">
        <v>16</v>
      </c>
      <c r="F553" s="337">
        <v>67467</v>
      </c>
      <c r="G553" s="339"/>
      <c r="H553" s="11"/>
      <c r="I553" s="344" t="s">
        <v>107</v>
      </c>
      <c r="J553" s="345"/>
      <c r="K553" s="13" t="s">
        <v>25</v>
      </c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>
        <f t="shared" si="30"/>
        <v>12.5</v>
      </c>
      <c r="AG553" s="11">
        <f t="shared" si="29"/>
        <v>3</v>
      </c>
      <c r="AH553" s="11"/>
      <c r="AI553" s="11"/>
    </row>
    <row r="554" spans="2:35" ht="12.75" customHeight="1" x14ac:dyDescent="0.2">
      <c r="B554" s="22"/>
      <c r="D554" s="11"/>
      <c r="E554" s="11">
        <v>16</v>
      </c>
      <c r="F554" s="337">
        <v>67467</v>
      </c>
      <c r="G554" s="339"/>
      <c r="H554" s="11"/>
      <c r="I554" s="344" t="s">
        <v>108</v>
      </c>
      <c r="J554" s="345"/>
      <c r="K554" s="13" t="s">
        <v>25</v>
      </c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>
        <f t="shared" si="29"/>
        <v>3</v>
      </c>
      <c r="AH554" s="11"/>
      <c r="AI554" s="11"/>
    </row>
    <row r="555" spans="2:35" ht="12.75" customHeight="1" x14ac:dyDescent="0.2">
      <c r="B555" s="22"/>
      <c r="D555" s="11" t="s">
        <v>440</v>
      </c>
      <c r="E555" s="11">
        <v>16</v>
      </c>
      <c r="F555" s="337">
        <v>67587</v>
      </c>
      <c r="G555" s="339"/>
      <c r="H555" s="11"/>
      <c r="I555" s="344" t="s">
        <v>107</v>
      </c>
      <c r="J555" s="345"/>
      <c r="K555" s="13" t="s">
        <v>25</v>
      </c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>
        <f t="shared" si="30"/>
        <v>12.5</v>
      </c>
      <c r="AG555" s="11">
        <f t="shared" si="29"/>
        <v>3</v>
      </c>
      <c r="AH555" s="11"/>
      <c r="AI555" s="11"/>
    </row>
    <row r="556" spans="2:35" ht="12.75" customHeight="1" x14ac:dyDescent="0.2">
      <c r="B556" s="22"/>
      <c r="D556" s="11"/>
      <c r="E556" s="11">
        <v>16</v>
      </c>
      <c r="F556" s="337">
        <v>67587</v>
      </c>
      <c r="G556" s="339"/>
      <c r="H556" s="11"/>
      <c r="I556" s="344" t="s">
        <v>108</v>
      </c>
      <c r="J556" s="345"/>
      <c r="K556" s="13" t="s">
        <v>25</v>
      </c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>
        <f t="shared" si="29"/>
        <v>3</v>
      </c>
      <c r="AH556" s="11"/>
      <c r="AI556" s="11"/>
    </row>
    <row r="557" spans="2:35" ht="12.75" customHeight="1" x14ac:dyDescent="0.2">
      <c r="B557" s="22"/>
      <c r="D557" s="11" t="s">
        <v>441</v>
      </c>
      <c r="E557" s="11">
        <v>17</v>
      </c>
      <c r="F557" s="337">
        <v>67707</v>
      </c>
      <c r="G557" s="339"/>
      <c r="H557" s="11"/>
      <c r="I557" s="344" t="s">
        <v>107</v>
      </c>
      <c r="J557" s="345"/>
      <c r="K557" s="13" t="s">
        <v>25</v>
      </c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>
        <f t="shared" si="30"/>
        <v>12.5</v>
      </c>
      <c r="AG557" s="11">
        <f t="shared" si="29"/>
        <v>3</v>
      </c>
      <c r="AH557" s="11"/>
      <c r="AI557" s="11"/>
    </row>
    <row r="558" spans="2:35" ht="12.75" customHeight="1" x14ac:dyDescent="0.2">
      <c r="B558" s="22"/>
      <c r="D558" s="11"/>
      <c r="E558" s="11">
        <v>17</v>
      </c>
      <c r="F558" s="337">
        <v>67707</v>
      </c>
      <c r="G558" s="339"/>
      <c r="H558" s="11"/>
      <c r="I558" s="344" t="s">
        <v>108</v>
      </c>
      <c r="J558" s="345"/>
      <c r="K558" s="13" t="s">
        <v>25</v>
      </c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>
        <f t="shared" si="29"/>
        <v>3</v>
      </c>
      <c r="AH558" s="11"/>
      <c r="AI558" s="11"/>
    </row>
    <row r="559" spans="2:35" ht="12.75" customHeight="1" x14ac:dyDescent="0.2">
      <c r="B559" s="22"/>
      <c r="D559" s="11" t="s">
        <v>442</v>
      </c>
      <c r="E559" s="11">
        <v>17</v>
      </c>
      <c r="F559" s="337">
        <v>67827</v>
      </c>
      <c r="G559" s="339"/>
      <c r="H559" s="11"/>
      <c r="I559" s="344" t="s">
        <v>107</v>
      </c>
      <c r="J559" s="345"/>
      <c r="K559" s="13" t="s">
        <v>25</v>
      </c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>
        <f t="shared" si="30"/>
        <v>12.5</v>
      </c>
      <c r="AG559" s="11">
        <f t="shared" si="29"/>
        <v>3</v>
      </c>
      <c r="AH559" s="11"/>
      <c r="AI559" s="11"/>
    </row>
    <row r="560" spans="2:35" ht="12.75" customHeight="1" x14ac:dyDescent="0.2">
      <c r="B560" s="22"/>
      <c r="D560" s="11"/>
      <c r="E560" s="11">
        <v>17</v>
      </c>
      <c r="F560" s="337">
        <v>67827</v>
      </c>
      <c r="G560" s="339"/>
      <c r="H560" s="11"/>
      <c r="I560" s="344" t="s">
        <v>108</v>
      </c>
      <c r="J560" s="345"/>
      <c r="K560" s="13" t="s">
        <v>25</v>
      </c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>
        <f t="shared" si="29"/>
        <v>3</v>
      </c>
      <c r="AH560" s="11"/>
      <c r="AI560" s="11"/>
    </row>
    <row r="561" spans="2:35" ht="12.75" customHeight="1" x14ac:dyDescent="0.2">
      <c r="B561" s="22"/>
      <c r="D561" s="11" t="s">
        <v>443</v>
      </c>
      <c r="E561" s="11">
        <v>17</v>
      </c>
      <c r="F561" s="337">
        <v>67946</v>
      </c>
      <c r="G561" s="339"/>
      <c r="H561" s="11"/>
      <c r="I561" s="344" t="s">
        <v>107</v>
      </c>
      <c r="J561" s="345"/>
      <c r="K561" s="13" t="s">
        <v>25</v>
      </c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>
        <f t="shared" si="30"/>
        <v>12.5</v>
      </c>
      <c r="AG561" s="11">
        <f t="shared" si="29"/>
        <v>3</v>
      </c>
      <c r="AH561" s="11"/>
      <c r="AI561" s="11"/>
    </row>
    <row r="562" spans="2:35" ht="12.75" customHeight="1" x14ac:dyDescent="0.2">
      <c r="B562" s="22"/>
      <c r="D562" s="11"/>
      <c r="E562" s="11">
        <v>17</v>
      </c>
      <c r="F562" s="337">
        <v>67946</v>
      </c>
      <c r="G562" s="339"/>
      <c r="H562" s="11"/>
      <c r="I562" s="344" t="s">
        <v>108</v>
      </c>
      <c r="J562" s="345"/>
      <c r="K562" s="13" t="s">
        <v>25</v>
      </c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>
        <f t="shared" si="29"/>
        <v>3</v>
      </c>
      <c r="AH562" s="11"/>
      <c r="AI562" s="11"/>
    </row>
    <row r="563" spans="2:35" ht="12.75" customHeight="1" x14ac:dyDescent="0.2">
      <c r="B563" s="22"/>
      <c r="D563" s="11" t="s">
        <v>444</v>
      </c>
      <c r="E563" s="11">
        <v>17</v>
      </c>
      <c r="F563" s="337">
        <v>68066</v>
      </c>
      <c r="G563" s="339"/>
      <c r="H563" s="11"/>
      <c r="I563" s="344" t="s">
        <v>107</v>
      </c>
      <c r="J563" s="345"/>
      <c r="K563" s="13" t="s">
        <v>25</v>
      </c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>
        <f t="shared" si="30"/>
        <v>12.5</v>
      </c>
      <c r="AG563" s="11">
        <f t="shared" si="29"/>
        <v>3</v>
      </c>
      <c r="AH563" s="11"/>
      <c r="AI563" s="11"/>
    </row>
    <row r="564" spans="2:35" ht="12.75" customHeight="1" x14ac:dyDescent="0.2">
      <c r="B564" s="22"/>
      <c r="D564" s="11"/>
      <c r="E564" s="11">
        <v>17</v>
      </c>
      <c r="F564" s="337">
        <v>68066</v>
      </c>
      <c r="G564" s="339"/>
      <c r="H564" s="11"/>
      <c r="I564" s="344" t="s">
        <v>108</v>
      </c>
      <c r="J564" s="345"/>
      <c r="K564" s="13" t="s">
        <v>25</v>
      </c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>
        <f t="shared" si="29"/>
        <v>3</v>
      </c>
      <c r="AH564" s="11"/>
      <c r="AI564" s="11"/>
    </row>
    <row r="565" spans="2:35" ht="12.75" customHeight="1" x14ac:dyDescent="0.2">
      <c r="B565" s="22"/>
      <c r="D565" s="11" t="s">
        <v>445</v>
      </c>
      <c r="E565" s="11">
        <v>17</v>
      </c>
      <c r="F565" s="337">
        <v>67852</v>
      </c>
      <c r="G565" s="339"/>
      <c r="H565" s="11"/>
      <c r="I565" s="344" t="s">
        <v>114</v>
      </c>
      <c r="J565" s="345"/>
      <c r="K565" s="13" t="s">
        <v>24</v>
      </c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>
        <f>3*3</f>
        <v>9</v>
      </c>
      <c r="AH565" s="11"/>
      <c r="AI565" s="11"/>
    </row>
    <row r="566" spans="2:35" ht="12.75" customHeight="1" x14ac:dyDescent="0.2">
      <c r="B566" s="22"/>
      <c r="D566" s="11"/>
      <c r="E566" s="11">
        <v>17</v>
      </c>
      <c r="F566" s="337">
        <v>67852</v>
      </c>
      <c r="G566" s="339"/>
      <c r="H566" s="11"/>
      <c r="I566" s="344" t="s">
        <v>115</v>
      </c>
      <c r="J566" s="345"/>
      <c r="K566" s="13" t="s">
        <v>24</v>
      </c>
      <c r="L566" s="11"/>
      <c r="M566" s="11"/>
      <c r="N566" s="35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47"/>
      <c r="AH566" s="11"/>
      <c r="AI566" s="11"/>
    </row>
    <row r="567" spans="2:35" ht="12.75" customHeight="1" x14ac:dyDescent="0.2">
      <c r="B567" s="22"/>
      <c r="D567" s="11"/>
      <c r="E567" s="11">
        <v>17</v>
      </c>
      <c r="F567" s="337">
        <v>67852</v>
      </c>
      <c r="G567" s="339"/>
      <c r="H567" s="11"/>
      <c r="I567" s="344" t="s">
        <v>116</v>
      </c>
      <c r="J567" s="345"/>
      <c r="K567" s="13" t="s">
        <v>24</v>
      </c>
      <c r="L567" s="11"/>
      <c r="M567" s="11"/>
      <c r="N567" s="35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>
        <f>1.5*1.5</f>
        <v>2.25</v>
      </c>
      <c r="AH567" s="11"/>
      <c r="AI567" s="11"/>
    </row>
    <row r="568" spans="2:35" ht="12.75" customHeight="1" x14ac:dyDescent="0.2">
      <c r="B568" s="22"/>
      <c r="D568" s="11" t="s">
        <v>446</v>
      </c>
      <c r="E568" s="11">
        <v>17</v>
      </c>
      <c r="F568" s="337">
        <v>68078</v>
      </c>
      <c r="G568" s="339"/>
      <c r="H568" s="11"/>
      <c r="I568" s="344" t="s">
        <v>117</v>
      </c>
      <c r="J568" s="345"/>
      <c r="K568" s="13" t="s">
        <v>24</v>
      </c>
      <c r="L568" s="11"/>
      <c r="M568" s="11"/>
      <c r="N568" s="11"/>
      <c r="O568" s="35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>
        <f>3.5+7+4.5</f>
        <v>15</v>
      </c>
      <c r="AG568" s="11">
        <f>3*3</f>
        <v>9</v>
      </c>
      <c r="AH568" s="11"/>
      <c r="AI568" s="11"/>
    </row>
    <row r="569" spans="2:35" ht="12.75" customHeight="1" x14ac:dyDescent="0.2">
      <c r="B569" s="22"/>
      <c r="D569" s="11" t="s">
        <v>566</v>
      </c>
      <c r="E569" s="11">
        <v>17</v>
      </c>
      <c r="F569" s="337">
        <v>68112</v>
      </c>
      <c r="G569" s="339"/>
      <c r="H569" s="11"/>
      <c r="I569" s="344" t="s">
        <v>130</v>
      </c>
      <c r="J569" s="345"/>
      <c r="K569" s="13" t="s">
        <v>25</v>
      </c>
      <c r="L569" s="11"/>
      <c r="M569" s="11"/>
      <c r="N569" s="11"/>
      <c r="O569" s="35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>
        <f>3.5+7+4</f>
        <v>14.5</v>
      </c>
      <c r="AG569" s="11">
        <f>4*4</f>
        <v>16</v>
      </c>
      <c r="AH569" s="11"/>
      <c r="AI569" s="11"/>
    </row>
    <row r="570" spans="2:35" ht="12.75" customHeight="1" x14ac:dyDescent="0.2">
      <c r="B570" s="22"/>
      <c r="D570" s="11" t="s">
        <v>447</v>
      </c>
      <c r="E570" s="11">
        <v>18</v>
      </c>
      <c r="F570" s="337">
        <v>68206</v>
      </c>
      <c r="G570" s="339"/>
      <c r="H570" s="11"/>
      <c r="I570" s="344" t="s">
        <v>108</v>
      </c>
      <c r="J570" s="345"/>
      <c r="K570" s="13" t="s">
        <v>25</v>
      </c>
      <c r="L570" s="11"/>
      <c r="M570" s="11"/>
      <c r="N570" s="11"/>
      <c r="O570" s="35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>
        <f>3.5+7+2</f>
        <v>12.5</v>
      </c>
      <c r="AG570" s="11">
        <f>1.5*2</f>
        <v>3</v>
      </c>
      <c r="AH570" s="11"/>
      <c r="AI570" s="11"/>
    </row>
    <row r="571" spans="2:35" ht="12.75" customHeight="1" x14ac:dyDescent="0.2">
      <c r="B571" s="22"/>
      <c r="D571" s="11"/>
      <c r="E571" s="11">
        <v>18</v>
      </c>
      <c r="F571" s="337">
        <v>68206</v>
      </c>
      <c r="G571" s="339"/>
      <c r="H571" s="13"/>
      <c r="I571" s="344" t="s">
        <v>107</v>
      </c>
      <c r="J571" s="345"/>
      <c r="K571" s="13" t="s">
        <v>25</v>
      </c>
      <c r="L571" s="11"/>
      <c r="M571" s="11"/>
      <c r="N571" s="11"/>
      <c r="O571" s="11"/>
      <c r="P571" s="35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>
        <f>1.5*2</f>
        <v>3</v>
      </c>
      <c r="AH571" s="11"/>
      <c r="AI571" s="11"/>
    </row>
    <row r="572" spans="2:35" ht="12.75" customHeight="1" x14ac:dyDescent="0.2">
      <c r="B572" s="22"/>
      <c r="D572" s="11" t="s">
        <v>448</v>
      </c>
      <c r="E572" s="11">
        <v>18</v>
      </c>
      <c r="F572" s="343">
        <v>68190</v>
      </c>
      <c r="G572" s="343"/>
      <c r="H572" s="13"/>
      <c r="I572" s="344" t="s">
        <v>118</v>
      </c>
      <c r="J572" s="345"/>
      <c r="K572" s="13" t="s">
        <v>24</v>
      </c>
      <c r="L572" s="11"/>
      <c r="M572" s="11"/>
      <c r="N572" s="11"/>
      <c r="O572" s="11"/>
      <c r="P572" s="35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>
        <f>3.5+7+2.5+2.5</f>
        <v>15.5</v>
      </c>
      <c r="AG572" s="11">
        <f>2*2.5</f>
        <v>5</v>
      </c>
      <c r="AH572" s="11"/>
      <c r="AI572" s="11"/>
    </row>
    <row r="573" spans="2:35" ht="12.75" customHeight="1" x14ac:dyDescent="0.2">
      <c r="B573" s="22"/>
      <c r="D573" s="11"/>
      <c r="E573" s="11">
        <v>18</v>
      </c>
      <c r="F573" s="343">
        <v>68190</v>
      </c>
      <c r="G573" s="343"/>
      <c r="H573" s="13"/>
      <c r="I573" s="344" t="s">
        <v>119</v>
      </c>
      <c r="J573" s="345"/>
      <c r="K573" s="13" t="s">
        <v>24</v>
      </c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>
        <f>1.5*1.5</f>
        <v>2.25</v>
      </c>
      <c r="AH573" s="11"/>
      <c r="AI573" s="11"/>
    </row>
    <row r="574" spans="2:35" ht="12.75" customHeight="1" x14ac:dyDescent="0.2">
      <c r="B574" s="22"/>
      <c r="D574" s="11" t="s">
        <v>449</v>
      </c>
      <c r="E574" s="11">
        <v>18</v>
      </c>
      <c r="F574" s="343">
        <v>68286</v>
      </c>
      <c r="G574" s="343"/>
      <c r="H574" s="13"/>
      <c r="I574" s="344" t="s">
        <v>106</v>
      </c>
      <c r="J574" s="345"/>
      <c r="K574" s="13" t="s">
        <v>25</v>
      </c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>
        <f>3.5+7+4.5</f>
        <v>15</v>
      </c>
      <c r="AG574" s="11">
        <f>3*3</f>
        <v>9</v>
      </c>
      <c r="AH574" s="11"/>
      <c r="AI574" s="11"/>
    </row>
    <row r="575" spans="2:35" ht="12.75" customHeight="1" x14ac:dyDescent="0.2">
      <c r="B575" s="22"/>
      <c r="D575" s="11" t="s">
        <v>450</v>
      </c>
      <c r="E575" s="11">
        <v>18</v>
      </c>
      <c r="F575" s="337" t="s">
        <v>120</v>
      </c>
      <c r="G575" s="339"/>
      <c r="H575" s="11"/>
      <c r="I575" s="344" t="s">
        <v>121</v>
      </c>
      <c r="J575" s="345"/>
      <c r="K575" s="13" t="s">
        <v>25</v>
      </c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>
        <f>3.5+7+2.5+2+2+1</f>
        <v>18</v>
      </c>
      <c r="AG575" s="11">
        <f>2*1</f>
        <v>2</v>
      </c>
      <c r="AH575" s="11"/>
      <c r="AI575" s="11"/>
    </row>
    <row r="576" spans="2:35" ht="12.75" customHeight="1" x14ac:dyDescent="0.2">
      <c r="B576" s="22"/>
      <c r="D576" s="11"/>
      <c r="E576" s="11">
        <v>18</v>
      </c>
      <c r="F576" s="337" t="s">
        <v>120</v>
      </c>
      <c r="G576" s="339"/>
      <c r="H576" s="11"/>
      <c r="I576" s="344" t="s">
        <v>122</v>
      </c>
      <c r="J576" s="345"/>
      <c r="K576" s="13" t="s">
        <v>25</v>
      </c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>
        <f>2*2</f>
        <v>4</v>
      </c>
      <c r="AH576" s="11"/>
      <c r="AI576" s="11"/>
    </row>
    <row r="577" spans="2:35" ht="12.75" customHeight="1" x14ac:dyDescent="0.2">
      <c r="B577" s="22"/>
      <c r="D577" s="11"/>
      <c r="E577" s="11">
        <v>18</v>
      </c>
      <c r="F577" s="337" t="s">
        <v>120</v>
      </c>
      <c r="G577" s="339"/>
      <c r="H577" s="11"/>
      <c r="I577" s="344" t="s">
        <v>123</v>
      </c>
      <c r="J577" s="345"/>
      <c r="K577" s="13" t="s">
        <v>25</v>
      </c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>
        <f>2*2</f>
        <v>4</v>
      </c>
      <c r="AH577" s="11"/>
      <c r="AI577" s="11"/>
    </row>
    <row r="578" spans="2:35" ht="12.75" customHeight="1" x14ac:dyDescent="0.2">
      <c r="B578" s="22"/>
      <c r="D578" s="11"/>
      <c r="E578" s="11">
        <v>18</v>
      </c>
      <c r="F578" s="337" t="s">
        <v>120</v>
      </c>
      <c r="G578" s="339"/>
      <c r="H578" s="11"/>
      <c r="I578" s="344" t="s">
        <v>124</v>
      </c>
      <c r="J578" s="345"/>
      <c r="K578" s="13" t="s">
        <v>25</v>
      </c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47">
        <f>2*2.5</f>
        <v>5</v>
      </c>
      <c r="AH578" s="11"/>
      <c r="AI578" s="11"/>
    </row>
    <row r="579" spans="2:35" ht="12.75" customHeight="1" x14ac:dyDescent="0.2">
      <c r="B579" s="22"/>
      <c r="D579" s="11" t="s">
        <v>451</v>
      </c>
      <c r="E579" s="11">
        <v>18</v>
      </c>
      <c r="F579" s="337">
        <v>68390</v>
      </c>
      <c r="G579" s="339"/>
      <c r="H579" s="11"/>
      <c r="I579" s="344" t="s">
        <v>121</v>
      </c>
      <c r="J579" s="345"/>
      <c r="K579" s="13" t="s">
        <v>25</v>
      </c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>
        <f>3.5+7+1+2+1.25</f>
        <v>14.75</v>
      </c>
      <c r="AG579" s="11">
        <f>2*1</f>
        <v>2</v>
      </c>
      <c r="AH579" s="11"/>
      <c r="AI579" s="11"/>
    </row>
    <row r="580" spans="2:35" ht="12.75" customHeight="1" x14ac:dyDescent="0.2">
      <c r="B580" s="22"/>
      <c r="D580" s="11"/>
      <c r="E580" s="11">
        <v>18</v>
      </c>
      <c r="F580" s="337">
        <v>68390</v>
      </c>
      <c r="G580" s="339"/>
      <c r="H580" s="11"/>
      <c r="I580" s="344" t="s">
        <v>122</v>
      </c>
      <c r="J580" s="345"/>
      <c r="K580" s="13" t="s">
        <v>25</v>
      </c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>
        <f>2*2</f>
        <v>4</v>
      </c>
      <c r="AH580" s="11"/>
      <c r="AI580" s="11"/>
    </row>
    <row r="581" spans="2:35" ht="12.75" customHeight="1" x14ac:dyDescent="0.2">
      <c r="B581" s="22"/>
      <c r="D581" s="11"/>
      <c r="E581" s="11">
        <v>18</v>
      </c>
      <c r="F581" s="337">
        <v>68390</v>
      </c>
      <c r="G581" s="339"/>
      <c r="H581" s="11"/>
      <c r="I581" s="344" t="s">
        <v>125</v>
      </c>
      <c r="J581" s="345"/>
      <c r="K581" s="13" t="s">
        <v>25</v>
      </c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>
        <f>1.75*1.25</f>
        <v>2.1875</v>
      </c>
      <c r="AH581" s="11"/>
      <c r="AI581" s="11"/>
    </row>
    <row r="582" spans="2:35" ht="12.75" customHeight="1" x14ac:dyDescent="0.2">
      <c r="B582" s="22"/>
      <c r="D582" s="11" t="s">
        <v>452</v>
      </c>
      <c r="E582" s="11">
        <v>18</v>
      </c>
      <c r="F582" s="337">
        <v>68494</v>
      </c>
      <c r="G582" s="339"/>
      <c r="H582" s="11"/>
      <c r="I582" s="344" t="s">
        <v>126</v>
      </c>
      <c r="J582" s="345"/>
      <c r="K582" s="13" t="s">
        <v>25</v>
      </c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>
        <f>(3.5+7+2)*2</f>
        <v>25</v>
      </c>
      <c r="AG582" s="11">
        <f>2*4</f>
        <v>8</v>
      </c>
      <c r="AH582" s="11"/>
      <c r="AI582" s="11"/>
    </row>
    <row r="583" spans="2:35" ht="12.75" customHeight="1" x14ac:dyDescent="0.2">
      <c r="B583" s="22"/>
      <c r="D583" s="11" t="s">
        <v>453</v>
      </c>
      <c r="E583" s="11">
        <v>18</v>
      </c>
      <c r="F583" s="337">
        <v>68550</v>
      </c>
      <c r="G583" s="339"/>
      <c r="H583" s="11"/>
      <c r="I583" s="344" t="s">
        <v>127</v>
      </c>
      <c r="J583" s="345"/>
      <c r="K583" s="13" t="s">
        <v>25</v>
      </c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>
        <f>3.5+7+2.75</f>
        <v>13.25</v>
      </c>
      <c r="AG583" s="11">
        <f>4</f>
        <v>4</v>
      </c>
      <c r="AH583" s="11"/>
      <c r="AI583" s="11"/>
    </row>
    <row r="584" spans="2:35" ht="12.75" customHeight="1" x14ac:dyDescent="0.2">
      <c r="B584" s="22"/>
      <c r="D584" s="11" t="s">
        <v>454</v>
      </c>
      <c r="E584" s="11">
        <v>18</v>
      </c>
      <c r="F584" s="337">
        <v>68380</v>
      </c>
      <c r="G584" s="339"/>
      <c r="H584" s="11"/>
      <c r="I584" s="344" t="s">
        <v>127</v>
      </c>
      <c r="J584" s="345"/>
      <c r="K584" s="13" t="s">
        <v>24</v>
      </c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>
        <f>3.5+7+2.75</f>
        <v>13.25</v>
      </c>
      <c r="AG584" s="11">
        <f>4</f>
        <v>4</v>
      </c>
      <c r="AH584" s="11"/>
      <c r="AI584" s="11"/>
    </row>
    <row r="585" spans="2:35" ht="12.75" customHeight="1" thickBot="1" x14ac:dyDescent="0.25">
      <c r="B585" s="23"/>
      <c r="D585" s="11" t="s">
        <v>455</v>
      </c>
      <c r="E585" s="11">
        <v>18</v>
      </c>
      <c r="F585" s="337">
        <v>68434</v>
      </c>
      <c r="G585" s="339"/>
      <c r="H585" s="11"/>
      <c r="I585" s="344" t="s">
        <v>126</v>
      </c>
      <c r="J585" s="345"/>
      <c r="K585" s="13" t="s">
        <v>24</v>
      </c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>
        <f>(3.5+7+2)*2</f>
        <v>25</v>
      </c>
      <c r="AG585" s="11">
        <f>2*4</f>
        <v>8</v>
      </c>
      <c r="AH585" s="11"/>
      <c r="AI585" s="11"/>
    </row>
    <row r="586" spans="2:35" ht="12.75" customHeight="1" x14ac:dyDescent="0.2">
      <c r="B586" s="5" t="s">
        <v>11</v>
      </c>
      <c r="D586" s="351" t="s">
        <v>2</v>
      </c>
      <c r="E586" s="352"/>
      <c r="F586" s="352"/>
      <c r="G586" s="352"/>
      <c r="H586" s="352"/>
      <c r="I586" s="352"/>
      <c r="J586" s="353"/>
      <c r="K586" s="14" t="str">
        <f t="shared" ref="K586:AI586" si="31">IF(K508="","",IF(OR(K523="", K523="LS", K523="LUMP"),IF(SUM(COUNTIF(K524:K585,"LS")+COUNTIF(K524:K585,"LUMP"))&gt;0,"LS",""),IF(SUM(K524:K585)&gt;0,ROUNDUP(SUM(K524:K585),0),"")))</f>
        <v/>
      </c>
      <c r="L586" s="14" t="str">
        <f t="shared" si="31"/>
        <v/>
      </c>
      <c r="M586" s="14" t="str">
        <f t="shared" si="31"/>
        <v/>
      </c>
      <c r="N586" s="14" t="str">
        <f t="shared" si="31"/>
        <v/>
      </c>
      <c r="O586" s="14" t="str">
        <f t="shared" si="31"/>
        <v/>
      </c>
      <c r="P586" s="14" t="str">
        <f t="shared" si="31"/>
        <v/>
      </c>
      <c r="Q586" s="14" t="str">
        <f t="shared" si="31"/>
        <v/>
      </c>
      <c r="R586" s="14" t="str">
        <f t="shared" si="31"/>
        <v/>
      </c>
      <c r="S586" s="14" t="str">
        <f t="shared" si="31"/>
        <v/>
      </c>
      <c r="T586" s="14" t="str">
        <f t="shared" si="31"/>
        <v/>
      </c>
      <c r="U586" s="14" t="str">
        <f t="shared" si="31"/>
        <v/>
      </c>
      <c r="V586" s="14" t="str">
        <f t="shared" si="31"/>
        <v/>
      </c>
      <c r="W586" s="14" t="str">
        <f t="shared" si="31"/>
        <v/>
      </c>
      <c r="X586" s="14" t="str">
        <f t="shared" si="31"/>
        <v/>
      </c>
      <c r="Y586" s="14" t="str">
        <f t="shared" si="31"/>
        <v/>
      </c>
      <c r="Z586" s="14" t="str">
        <f t="shared" si="31"/>
        <v/>
      </c>
      <c r="AA586" s="14" t="str">
        <f t="shared" si="31"/>
        <v/>
      </c>
      <c r="AB586" s="14" t="str">
        <f t="shared" si="31"/>
        <v/>
      </c>
      <c r="AC586" s="14" t="str">
        <f t="shared" si="31"/>
        <v/>
      </c>
      <c r="AD586" s="14" t="str">
        <f t="shared" si="31"/>
        <v/>
      </c>
      <c r="AE586" s="14" t="str">
        <f t="shared" si="31"/>
        <v/>
      </c>
      <c r="AF586" s="14">
        <f t="shared" si="31"/>
        <v>459</v>
      </c>
      <c r="AG586" s="14">
        <f t="shared" si="31"/>
        <v>231</v>
      </c>
      <c r="AH586" s="14">
        <f t="shared" si="31"/>
        <v>2</v>
      </c>
      <c r="AI586" s="14">
        <f t="shared" si="31"/>
        <v>2</v>
      </c>
    </row>
    <row r="587" spans="2:35" ht="12.75" customHeight="1" thickBot="1" x14ac:dyDescent="0.25"/>
    <row r="588" spans="2:35" ht="12.75" customHeight="1" thickBot="1" x14ac:dyDescent="0.25">
      <c r="B588" s="20" t="s">
        <v>9</v>
      </c>
      <c r="D588" s="295" t="str">
        <f>"SUBSUMMARY SHEET " &amp; B589</f>
        <v xml:space="preserve">SUBSUMMARY SHEET </v>
      </c>
      <c r="E588" s="295"/>
      <c r="F588" s="295"/>
      <c r="G588" s="295"/>
      <c r="H588" s="295"/>
      <c r="I588" s="295"/>
      <c r="J588" s="295"/>
      <c r="K588" s="295"/>
      <c r="L588" s="295"/>
      <c r="M588" s="295"/>
      <c r="N588" s="295"/>
      <c r="O588" s="295"/>
      <c r="P588" s="295"/>
      <c r="Q588" s="295"/>
      <c r="R588" s="295"/>
      <c r="S588" s="295"/>
      <c r="T588" s="295"/>
      <c r="U588" s="295"/>
      <c r="V588" s="295"/>
      <c r="W588" s="295"/>
      <c r="X588" s="295"/>
      <c r="Y588" s="295"/>
      <c r="Z588" s="295"/>
      <c r="AA588" s="295"/>
      <c r="AB588" s="295"/>
      <c r="AC588" s="295"/>
      <c r="AD588" s="295"/>
      <c r="AE588" s="295"/>
      <c r="AF588" s="295"/>
      <c r="AG588" s="295"/>
      <c r="AH588" s="295"/>
      <c r="AI588" s="295"/>
    </row>
    <row r="589" spans="2:35" ht="12.75" customHeight="1" thickBot="1" x14ac:dyDescent="0.25">
      <c r="B589" s="24"/>
      <c r="D589" s="309" t="s">
        <v>7</v>
      </c>
      <c r="E589" s="309"/>
      <c r="F589" s="309"/>
      <c r="G589" s="309"/>
      <c r="H589" s="309"/>
      <c r="I589" s="309"/>
      <c r="J589" s="309"/>
      <c r="K589" s="19"/>
      <c r="L589" s="19"/>
      <c r="M589" s="19"/>
      <c r="N589" s="19" t="s">
        <v>36</v>
      </c>
      <c r="O589" s="19" t="s">
        <v>36</v>
      </c>
      <c r="P589" s="19" t="s">
        <v>39</v>
      </c>
      <c r="Q589" s="19" t="s">
        <v>40</v>
      </c>
      <c r="R589" s="19" t="s">
        <v>42</v>
      </c>
      <c r="S589" s="19" t="s">
        <v>44</v>
      </c>
      <c r="T589" s="19" t="s">
        <v>47</v>
      </c>
      <c r="U589" s="19" t="s">
        <v>49</v>
      </c>
      <c r="V589" s="19" t="s">
        <v>52</v>
      </c>
      <c r="W589" s="19" t="s">
        <v>53</v>
      </c>
      <c r="X589" s="19" t="s">
        <v>55</v>
      </c>
      <c r="Y589" s="19" t="s">
        <v>57</v>
      </c>
      <c r="Z589" s="19" t="s">
        <v>63</v>
      </c>
      <c r="AA589" s="19" t="s">
        <v>65</v>
      </c>
      <c r="AB589" s="19" t="s">
        <v>70</v>
      </c>
      <c r="AC589" s="19" t="s">
        <v>71</v>
      </c>
      <c r="AD589" s="19" t="s">
        <v>72</v>
      </c>
      <c r="AE589" s="19" t="s">
        <v>73</v>
      </c>
      <c r="AF589" s="19" t="s">
        <v>28</v>
      </c>
      <c r="AG589" s="19" t="s">
        <v>29</v>
      </c>
      <c r="AH589" s="19" t="s">
        <v>30</v>
      </c>
      <c r="AI589" s="19" t="s">
        <v>31</v>
      </c>
    </row>
    <row r="590" spans="2:35" ht="12.75" customHeight="1" thickBot="1" x14ac:dyDescent="0.25">
      <c r="D590" s="310" t="s">
        <v>8</v>
      </c>
      <c r="E590" s="310"/>
      <c r="F590" s="310"/>
      <c r="G590" s="310"/>
      <c r="H590" s="310"/>
      <c r="I590" s="310"/>
      <c r="J590" s="310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</row>
    <row r="591" spans="2:35" ht="12.75" customHeight="1" x14ac:dyDescent="0.2">
      <c r="B591" s="250" t="s">
        <v>10</v>
      </c>
      <c r="D591" s="360" t="s">
        <v>20</v>
      </c>
      <c r="E591" s="360" t="s">
        <v>21</v>
      </c>
      <c r="F591" s="363" t="s">
        <v>0</v>
      </c>
      <c r="G591" s="364"/>
      <c r="H591" s="364"/>
      <c r="I591" s="364"/>
      <c r="J591" s="365"/>
      <c r="K591" s="372" t="s">
        <v>23</v>
      </c>
      <c r="L591" s="7" t="str">
        <f>IF(OR(TRIM(L589)=0,TRIM(L589)=""),"",IF(IFERROR(TRIM(INDEX(QryItemNamed,MATCH(TRIM(L589),ITEM,0),2)),"")="Y","SPECIAL",LEFT(IFERROR(TRIM(INDEX(ITEM,MATCH(TRIM(L589),ITEM,0))),""),3)))</f>
        <v/>
      </c>
      <c r="M591" s="7" t="str">
        <f>IF(OR(TRIM(M589)=0,TRIM(M589)=""),"",IF(IFERROR(TRIM(INDEX(QryItemNamed,MATCH(TRIM(M589),ITEM,0),2)),"")="Y","SPECIAL",LEFT(IFERROR(TRIM(INDEX(ITEM,MATCH(TRIM(M589),ITEM,0))),""),3)))</f>
        <v/>
      </c>
      <c r="N591" s="7">
        <v>644</v>
      </c>
      <c r="O591" s="7">
        <v>644</v>
      </c>
      <c r="P591" s="7">
        <v>644</v>
      </c>
      <c r="Q591" s="7">
        <v>644</v>
      </c>
      <c r="R591" s="7">
        <v>644</v>
      </c>
      <c r="S591" s="7">
        <v>644</v>
      </c>
      <c r="T591" s="7">
        <v>644</v>
      </c>
      <c r="U591" s="7">
        <v>644</v>
      </c>
      <c r="V591" s="7">
        <v>644</v>
      </c>
      <c r="W591" s="7">
        <v>644</v>
      </c>
      <c r="X591" s="7">
        <v>644</v>
      </c>
      <c r="Y591" s="7">
        <v>644</v>
      </c>
      <c r="Z591" s="7">
        <v>644</v>
      </c>
      <c r="AA591" s="7">
        <v>644</v>
      </c>
      <c r="AB591" s="7">
        <v>618</v>
      </c>
      <c r="AC591" s="7" t="str">
        <f t="shared" ref="AC591:AI591" si="32">IF(OR(TRIM(AC589)=0,TRIM(AC589)=""),"",IF(IFERROR(TRIM(INDEX(QryItemNamed,MATCH(TRIM(AC589),ITEM,0),2)),"")="Y","SPECIAL",LEFT(IFERROR(TRIM(INDEX(ITEM,MATCH(TRIM(AC589),ITEM,0))),""),3)))</f>
        <v>618</v>
      </c>
      <c r="AD591" s="7" t="str">
        <f t="shared" si="32"/>
        <v>618</v>
      </c>
      <c r="AE591" s="7" t="str">
        <f t="shared" si="32"/>
        <v>618</v>
      </c>
      <c r="AF591" s="7" t="str">
        <f t="shared" si="32"/>
        <v>630</v>
      </c>
      <c r="AG591" s="7" t="str">
        <f t="shared" si="32"/>
        <v>630</v>
      </c>
      <c r="AH591" s="7" t="str">
        <f t="shared" si="32"/>
        <v>630</v>
      </c>
      <c r="AI591" s="7" t="str">
        <f t="shared" si="32"/>
        <v>630</v>
      </c>
    </row>
    <row r="592" spans="2:35" ht="12.75" customHeight="1" x14ac:dyDescent="0.2">
      <c r="B592" s="251"/>
      <c r="D592" s="361"/>
      <c r="E592" s="361"/>
      <c r="F592" s="366"/>
      <c r="G592" s="367"/>
      <c r="H592" s="367"/>
      <c r="I592" s="367"/>
      <c r="J592" s="368"/>
      <c r="K592" s="373"/>
      <c r="L592" s="375" t="str">
        <f>IF(OR(TRIM(L589)=0,TRIM(L589)=""),IF(L590="","",L590),IF(IFERROR(TRIM(INDEX(QryItemNamed,MATCH(TRIM(L589),ITEM,0),2)),"")="Y",TRIM(RIGHT(IFERROR(TRIM(INDEX(QryItemNamed,MATCH(TRIM(L589),ITEM,0),4)),"123456789012"),LEN(IFERROR(TRIM(INDEX(QryItemNamed,MATCH(TRIM(L589),ITEM,0),4)),"123456789012"))-9))&amp;L590,IFERROR(TRIM(INDEX(QryItemNamed,MATCH(TRIM(L589),ITEM,0),4))&amp;L590,"ITEM CODE DOES NOT EXIST IN ITEM MASTER")))</f>
        <v/>
      </c>
      <c r="M592" s="378" t="str">
        <f>IF(OR(TRIM(M589)=0,TRIM(M589)=""),IF(M590="","",M590),IF(IFERROR(TRIM(INDEX(QryItemNamed,MATCH(TRIM(M589),ITEM,0),2)),"")="Y",TRIM(RIGHT(IFERROR(TRIM(INDEX(QryItemNamed,MATCH(TRIM(M589),ITEM,0),4)),"123456789012"),LEN(IFERROR(TRIM(INDEX(QryItemNamed,MATCH(TRIM(M589),ITEM,0),4)),"123456789012"))-9))&amp;M590,IFERROR(TRIM(INDEX(QryItemNamed,MATCH(TRIM(M589),ITEM,0),4))&amp;M590,"ITEM CODE DOES NOT EXIST IN ITEM MASTER")))</f>
        <v/>
      </c>
      <c r="N592" s="381" t="s">
        <v>37</v>
      </c>
      <c r="O592" s="381" t="s">
        <v>38</v>
      </c>
      <c r="P592" s="381" t="s">
        <v>32</v>
      </c>
      <c r="Q592" s="381" t="s">
        <v>41</v>
      </c>
      <c r="R592" s="381" t="s">
        <v>43</v>
      </c>
      <c r="S592" s="381" t="s">
        <v>45</v>
      </c>
      <c r="T592" s="381" t="s">
        <v>48</v>
      </c>
      <c r="U592" s="381" t="s">
        <v>50</v>
      </c>
      <c r="V592" s="381" t="s">
        <v>59</v>
      </c>
      <c r="W592" s="381" t="s">
        <v>54</v>
      </c>
      <c r="X592" s="381" t="s">
        <v>56</v>
      </c>
      <c r="Y592" s="381" t="s">
        <v>58</v>
      </c>
      <c r="Z592" s="382" t="s">
        <v>64</v>
      </c>
      <c r="AA592" s="383" t="s">
        <v>66</v>
      </c>
      <c r="AB592" s="382" t="s">
        <v>74</v>
      </c>
      <c r="AC592" s="382" t="str">
        <f t="shared" ref="AC592:AI592" si="33">IF(OR(TRIM(AC589)=0,TRIM(AC589)=""),IF(AC590="","",AC590),IF(IFERROR(TRIM(INDEX(QryItemNamed,MATCH(TRIM(AC589),ITEM,0),2)),"")="Y",TRIM(RIGHT(IFERROR(TRIM(INDEX(QryItemNamed,MATCH(TRIM(AC589),ITEM,0),4)),"123456789012"),LEN(IFERROR(TRIM(INDEX(QryItemNamed,MATCH(TRIM(AC589),ITEM,0),4)),"123456789012"))-9))&amp;AC590,IFERROR(TRIM(INDEX(QryItemNamed,MATCH(TRIM(AC589),ITEM,0),4))&amp;AC590,"ITEM CODE DOES NOT EXIST IN ITEM MASTER")))</f>
        <v>RUMBLE STRIPES, EDGE LINE (CONCRETE)</v>
      </c>
      <c r="AD592" s="382" t="str">
        <f t="shared" si="33"/>
        <v>RUMBLE STRIPES, CENTER LINE (ASPHALT CONCRETE)</v>
      </c>
      <c r="AE592" s="382" t="str">
        <f t="shared" si="33"/>
        <v>RUMBLE STRIPES, CENTER LINE (CONCRETE)</v>
      </c>
      <c r="AF592" s="382" t="str">
        <f t="shared" si="33"/>
        <v>GROUND MOUNTED SUPPORT, NO. 3 POST</v>
      </c>
      <c r="AG592" s="382" t="str">
        <f t="shared" si="33"/>
        <v>SIGN, FLAT SHEET</v>
      </c>
      <c r="AH592" s="382" t="str">
        <f t="shared" si="33"/>
        <v>REMOVAL OF GROUND MOUNTED SIGN AND DISPOSAL</v>
      </c>
      <c r="AI592" s="382" t="str">
        <f t="shared" si="33"/>
        <v>REMOVAL OF GROUND MOUNTED POST SUPPORT AND DISPOSAL</v>
      </c>
    </row>
    <row r="593" spans="2:35" ht="12.75" customHeight="1" x14ac:dyDescent="0.2">
      <c r="B593" s="251"/>
      <c r="D593" s="361"/>
      <c r="E593" s="361"/>
      <c r="F593" s="366"/>
      <c r="G593" s="367"/>
      <c r="H593" s="367"/>
      <c r="I593" s="367"/>
      <c r="J593" s="368"/>
      <c r="K593" s="373"/>
      <c r="L593" s="376"/>
      <c r="M593" s="379"/>
      <c r="N593" s="381"/>
      <c r="O593" s="381"/>
      <c r="P593" s="381"/>
      <c r="Q593" s="381"/>
      <c r="R593" s="381"/>
      <c r="S593" s="381"/>
      <c r="T593" s="381"/>
      <c r="U593" s="381"/>
      <c r="V593" s="381"/>
      <c r="W593" s="381"/>
      <c r="X593" s="381"/>
      <c r="Y593" s="381"/>
      <c r="Z593" s="382"/>
      <c r="AA593" s="384"/>
      <c r="AB593" s="382"/>
      <c r="AC593" s="382"/>
      <c r="AD593" s="382"/>
      <c r="AE593" s="382"/>
      <c r="AF593" s="382"/>
      <c r="AG593" s="382"/>
      <c r="AH593" s="382"/>
      <c r="AI593" s="382"/>
    </row>
    <row r="594" spans="2:35" ht="12.75" customHeight="1" x14ac:dyDescent="0.2">
      <c r="B594" s="251"/>
      <c r="D594" s="361"/>
      <c r="E594" s="361"/>
      <c r="F594" s="366"/>
      <c r="G594" s="367"/>
      <c r="H594" s="367"/>
      <c r="I594" s="367"/>
      <c r="J594" s="368"/>
      <c r="K594" s="373"/>
      <c r="L594" s="376"/>
      <c r="M594" s="379"/>
      <c r="N594" s="381"/>
      <c r="O594" s="381"/>
      <c r="P594" s="381"/>
      <c r="Q594" s="381"/>
      <c r="R594" s="381"/>
      <c r="S594" s="381"/>
      <c r="T594" s="381"/>
      <c r="U594" s="381"/>
      <c r="V594" s="381"/>
      <c r="W594" s="381"/>
      <c r="X594" s="381"/>
      <c r="Y594" s="381"/>
      <c r="Z594" s="382"/>
      <c r="AA594" s="384"/>
      <c r="AB594" s="382"/>
      <c r="AC594" s="382"/>
      <c r="AD594" s="382"/>
      <c r="AE594" s="382"/>
      <c r="AF594" s="382"/>
      <c r="AG594" s="382"/>
      <c r="AH594" s="382"/>
      <c r="AI594" s="382"/>
    </row>
    <row r="595" spans="2:35" ht="12.75" customHeight="1" x14ac:dyDescent="0.2">
      <c r="B595" s="251"/>
      <c r="D595" s="361"/>
      <c r="E595" s="361"/>
      <c r="F595" s="366"/>
      <c r="G595" s="367"/>
      <c r="H595" s="367"/>
      <c r="I595" s="367"/>
      <c r="J595" s="368"/>
      <c r="K595" s="373"/>
      <c r="L595" s="376"/>
      <c r="M595" s="379"/>
      <c r="N595" s="381"/>
      <c r="O595" s="381"/>
      <c r="P595" s="381"/>
      <c r="Q595" s="381"/>
      <c r="R595" s="381"/>
      <c r="S595" s="381"/>
      <c r="T595" s="381"/>
      <c r="U595" s="381"/>
      <c r="V595" s="381"/>
      <c r="W595" s="381"/>
      <c r="X595" s="381"/>
      <c r="Y595" s="381"/>
      <c r="Z595" s="382"/>
      <c r="AA595" s="384"/>
      <c r="AB595" s="382"/>
      <c r="AC595" s="382"/>
      <c r="AD595" s="382"/>
      <c r="AE595" s="382"/>
      <c r="AF595" s="382"/>
      <c r="AG595" s="382"/>
      <c r="AH595" s="382"/>
      <c r="AI595" s="382"/>
    </row>
    <row r="596" spans="2:35" ht="12.75" customHeight="1" x14ac:dyDescent="0.2">
      <c r="B596" s="251"/>
      <c r="D596" s="361"/>
      <c r="E596" s="361"/>
      <c r="F596" s="366"/>
      <c r="G596" s="367"/>
      <c r="H596" s="367"/>
      <c r="I596" s="367"/>
      <c r="J596" s="368"/>
      <c r="K596" s="373"/>
      <c r="L596" s="376"/>
      <c r="M596" s="379"/>
      <c r="N596" s="381"/>
      <c r="O596" s="381"/>
      <c r="P596" s="381"/>
      <c r="Q596" s="381"/>
      <c r="R596" s="381"/>
      <c r="S596" s="381"/>
      <c r="T596" s="381"/>
      <c r="U596" s="381"/>
      <c r="V596" s="381"/>
      <c r="W596" s="381"/>
      <c r="X596" s="381"/>
      <c r="Y596" s="381"/>
      <c r="Z596" s="382"/>
      <c r="AA596" s="384"/>
      <c r="AB596" s="382"/>
      <c r="AC596" s="382"/>
      <c r="AD596" s="382"/>
      <c r="AE596" s="382"/>
      <c r="AF596" s="382"/>
      <c r="AG596" s="382"/>
      <c r="AH596" s="382"/>
      <c r="AI596" s="382"/>
    </row>
    <row r="597" spans="2:35" ht="12.75" customHeight="1" x14ac:dyDescent="0.2">
      <c r="B597" s="251"/>
      <c r="D597" s="361"/>
      <c r="E597" s="361"/>
      <c r="F597" s="366"/>
      <c r="G597" s="367"/>
      <c r="H597" s="367"/>
      <c r="I597" s="367"/>
      <c r="J597" s="368"/>
      <c r="K597" s="373"/>
      <c r="L597" s="376"/>
      <c r="M597" s="379"/>
      <c r="N597" s="381"/>
      <c r="O597" s="381"/>
      <c r="P597" s="381"/>
      <c r="Q597" s="381"/>
      <c r="R597" s="381"/>
      <c r="S597" s="381"/>
      <c r="T597" s="381"/>
      <c r="U597" s="381"/>
      <c r="V597" s="381"/>
      <c r="W597" s="381"/>
      <c r="X597" s="381"/>
      <c r="Y597" s="381"/>
      <c r="Z597" s="382"/>
      <c r="AA597" s="384"/>
      <c r="AB597" s="382"/>
      <c r="AC597" s="382"/>
      <c r="AD597" s="382"/>
      <c r="AE597" s="382"/>
      <c r="AF597" s="382"/>
      <c r="AG597" s="382"/>
      <c r="AH597" s="382"/>
      <c r="AI597" s="382"/>
    </row>
    <row r="598" spans="2:35" ht="12.75" customHeight="1" x14ac:dyDescent="0.2">
      <c r="B598" s="251"/>
      <c r="D598" s="361"/>
      <c r="E598" s="361"/>
      <c r="F598" s="366"/>
      <c r="G598" s="367"/>
      <c r="H598" s="367"/>
      <c r="I598" s="367"/>
      <c r="J598" s="368"/>
      <c r="K598" s="373"/>
      <c r="L598" s="376"/>
      <c r="M598" s="379"/>
      <c r="N598" s="381"/>
      <c r="O598" s="381"/>
      <c r="P598" s="381"/>
      <c r="Q598" s="381"/>
      <c r="R598" s="381"/>
      <c r="S598" s="381"/>
      <c r="T598" s="381"/>
      <c r="U598" s="381"/>
      <c r="V598" s="381"/>
      <c r="W598" s="381"/>
      <c r="X598" s="381"/>
      <c r="Y598" s="381"/>
      <c r="Z598" s="382"/>
      <c r="AA598" s="384"/>
      <c r="AB598" s="382"/>
      <c r="AC598" s="382"/>
      <c r="AD598" s="382"/>
      <c r="AE598" s="382"/>
      <c r="AF598" s="382"/>
      <c r="AG598" s="382"/>
      <c r="AH598" s="382"/>
      <c r="AI598" s="382"/>
    </row>
    <row r="599" spans="2:35" ht="12.75" customHeight="1" x14ac:dyDescent="0.2">
      <c r="B599" s="251"/>
      <c r="D599" s="361"/>
      <c r="E599" s="361"/>
      <c r="F599" s="366"/>
      <c r="G599" s="367"/>
      <c r="H599" s="367"/>
      <c r="I599" s="367"/>
      <c r="J599" s="368"/>
      <c r="K599" s="373"/>
      <c r="L599" s="376"/>
      <c r="M599" s="379"/>
      <c r="N599" s="381"/>
      <c r="O599" s="381"/>
      <c r="P599" s="381"/>
      <c r="Q599" s="381"/>
      <c r="R599" s="381"/>
      <c r="S599" s="381"/>
      <c r="T599" s="381"/>
      <c r="U599" s="381"/>
      <c r="V599" s="381"/>
      <c r="W599" s="381"/>
      <c r="X599" s="381"/>
      <c r="Y599" s="381"/>
      <c r="Z599" s="382"/>
      <c r="AA599" s="384"/>
      <c r="AB599" s="382"/>
      <c r="AC599" s="382"/>
      <c r="AD599" s="382"/>
      <c r="AE599" s="382"/>
      <c r="AF599" s="382"/>
      <c r="AG599" s="382"/>
      <c r="AH599" s="382"/>
      <c r="AI599" s="382"/>
    </row>
    <row r="600" spans="2:35" ht="12.75" customHeight="1" x14ac:dyDescent="0.2">
      <c r="B600" s="251"/>
      <c r="D600" s="361"/>
      <c r="E600" s="361"/>
      <c r="F600" s="366"/>
      <c r="G600" s="367"/>
      <c r="H600" s="367"/>
      <c r="I600" s="367"/>
      <c r="J600" s="368"/>
      <c r="K600" s="373"/>
      <c r="L600" s="376"/>
      <c r="M600" s="379"/>
      <c r="N600" s="381"/>
      <c r="O600" s="381"/>
      <c r="P600" s="381"/>
      <c r="Q600" s="381"/>
      <c r="R600" s="381"/>
      <c r="S600" s="381"/>
      <c r="T600" s="381"/>
      <c r="U600" s="381"/>
      <c r="V600" s="381"/>
      <c r="W600" s="381"/>
      <c r="X600" s="381"/>
      <c r="Y600" s="381"/>
      <c r="Z600" s="382"/>
      <c r="AA600" s="384"/>
      <c r="AB600" s="382"/>
      <c r="AC600" s="382"/>
      <c r="AD600" s="382"/>
      <c r="AE600" s="382"/>
      <c r="AF600" s="382"/>
      <c r="AG600" s="382"/>
      <c r="AH600" s="382"/>
      <c r="AI600" s="382"/>
    </row>
    <row r="601" spans="2:35" ht="12.75" customHeight="1" x14ac:dyDescent="0.2">
      <c r="B601" s="251"/>
      <c r="D601" s="361"/>
      <c r="E601" s="361"/>
      <c r="F601" s="366"/>
      <c r="G601" s="367"/>
      <c r="H601" s="367"/>
      <c r="I601" s="367"/>
      <c r="J601" s="368"/>
      <c r="K601" s="373"/>
      <c r="L601" s="376"/>
      <c r="M601" s="379"/>
      <c r="N601" s="381"/>
      <c r="O601" s="381"/>
      <c r="P601" s="381"/>
      <c r="Q601" s="381"/>
      <c r="R601" s="381"/>
      <c r="S601" s="381"/>
      <c r="T601" s="381"/>
      <c r="U601" s="381"/>
      <c r="V601" s="381"/>
      <c r="W601" s="381"/>
      <c r="X601" s="381"/>
      <c r="Y601" s="381"/>
      <c r="Z601" s="382"/>
      <c r="AA601" s="384"/>
      <c r="AB601" s="382"/>
      <c r="AC601" s="382"/>
      <c r="AD601" s="382"/>
      <c r="AE601" s="382"/>
      <c r="AF601" s="382"/>
      <c r="AG601" s="382"/>
      <c r="AH601" s="382"/>
      <c r="AI601" s="382"/>
    </row>
    <row r="602" spans="2:35" ht="12.75" customHeight="1" x14ac:dyDescent="0.2">
      <c r="B602" s="251"/>
      <c r="D602" s="361"/>
      <c r="E602" s="361"/>
      <c r="F602" s="366"/>
      <c r="G602" s="367"/>
      <c r="H602" s="367"/>
      <c r="I602" s="367"/>
      <c r="J602" s="368"/>
      <c r="K602" s="373"/>
      <c r="L602" s="376"/>
      <c r="M602" s="379"/>
      <c r="N602" s="381"/>
      <c r="O602" s="381"/>
      <c r="P602" s="381"/>
      <c r="Q602" s="381"/>
      <c r="R602" s="381"/>
      <c r="S602" s="381"/>
      <c r="T602" s="381"/>
      <c r="U602" s="381"/>
      <c r="V602" s="381"/>
      <c r="W602" s="381"/>
      <c r="X602" s="381"/>
      <c r="Y602" s="381"/>
      <c r="Z602" s="382"/>
      <c r="AA602" s="384"/>
      <c r="AB602" s="382"/>
      <c r="AC602" s="382"/>
      <c r="AD602" s="382"/>
      <c r="AE602" s="382"/>
      <c r="AF602" s="382"/>
      <c r="AG602" s="382"/>
      <c r="AH602" s="382"/>
      <c r="AI602" s="382"/>
    </row>
    <row r="603" spans="2:35" ht="12.75" customHeight="1" x14ac:dyDescent="0.2">
      <c r="B603" s="251"/>
      <c r="D603" s="361"/>
      <c r="E603" s="361"/>
      <c r="F603" s="366"/>
      <c r="G603" s="367"/>
      <c r="H603" s="367"/>
      <c r="I603" s="367"/>
      <c r="J603" s="368"/>
      <c r="K603" s="373"/>
      <c r="L603" s="377"/>
      <c r="M603" s="380"/>
      <c r="N603" s="381"/>
      <c r="O603" s="381"/>
      <c r="P603" s="381"/>
      <c r="Q603" s="381"/>
      <c r="R603" s="381"/>
      <c r="S603" s="381"/>
      <c r="T603" s="381"/>
      <c r="U603" s="381"/>
      <c r="V603" s="381"/>
      <c r="W603" s="381"/>
      <c r="X603" s="381"/>
      <c r="Y603" s="381"/>
      <c r="Z603" s="382"/>
      <c r="AA603" s="385"/>
      <c r="AB603" s="382"/>
      <c r="AC603" s="382"/>
      <c r="AD603" s="382"/>
      <c r="AE603" s="382"/>
      <c r="AF603" s="382"/>
      <c r="AG603" s="382"/>
      <c r="AH603" s="382"/>
      <c r="AI603" s="382"/>
    </row>
    <row r="604" spans="2:35" ht="12.75" customHeight="1" thickBot="1" x14ac:dyDescent="0.25">
      <c r="B604" s="252"/>
      <c r="D604" s="362"/>
      <c r="E604" s="362"/>
      <c r="F604" s="369"/>
      <c r="G604" s="370"/>
      <c r="H604" s="370"/>
      <c r="I604" s="370"/>
      <c r="J604" s="371"/>
      <c r="K604" s="374"/>
      <c r="L604" s="8" t="str">
        <f t="shared" ref="L604:Q604" si="34">IF(OR(TRIM(L589)=0,TRIM(L589)=""),"",IFERROR(TRIM(INDEX(QryItemNamed,MATCH(TRIM(L589),ITEM,0),3)),""))</f>
        <v/>
      </c>
      <c r="M604" s="8" t="str">
        <f t="shared" si="34"/>
        <v/>
      </c>
      <c r="N604" s="8" t="str">
        <f t="shared" si="34"/>
        <v>MILE</v>
      </c>
      <c r="O604" s="8" t="str">
        <f t="shared" si="34"/>
        <v>MILE</v>
      </c>
      <c r="P604" s="8" t="str">
        <f t="shared" si="34"/>
        <v>MILE</v>
      </c>
      <c r="Q604" s="8" t="str">
        <f t="shared" si="34"/>
        <v>FT</v>
      </c>
      <c r="R604" s="8" t="s">
        <v>46</v>
      </c>
      <c r="S604" s="8" t="s">
        <v>46</v>
      </c>
      <c r="T604" s="8" t="s">
        <v>46</v>
      </c>
      <c r="U604" s="8" t="s">
        <v>51</v>
      </c>
      <c r="V604" s="8" t="s">
        <v>51</v>
      </c>
      <c r="W604" s="8" t="s">
        <v>51</v>
      </c>
      <c r="X604" s="8" t="str">
        <f>IF(OR(TRIM(X589)=0,TRIM(X589)=""),"",IFERROR(TRIM(INDEX(QryItemNamed,MATCH(TRIM(X589),ITEM,0),3)),""))</f>
        <v>FT</v>
      </c>
      <c r="Y604" s="8" t="s">
        <v>46</v>
      </c>
      <c r="Z604" s="8" t="str">
        <f t="shared" ref="Z604:AI604" si="35">IF(OR(TRIM(Z589)=0,TRIM(Z589)=""),"",IFERROR(TRIM(INDEX(QryItemNamed,MATCH(TRIM(Z589),ITEM,0),3)),""))</f>
        <v>FT</v>
      </c>
      <c r="AA604" s="8" t="str">
        <f t="shared" si="35"/>
        <v>EACH</v>
      </c>
      <c r="AB604" s="8" t="str">
        <f t="shared" si="35"/>
        <v>MILE</v>
      </c>
      <c r="AC604" s="8" t="str">
        <f t="shared" si="35"/>
        <v>MILE</v>
      </c>
      <c r="AD604" s="8" t="str">
        <f t="shared" si="35"/>
        <v>MILE</v>
      </c>
      <c r="AE604" s="8" t="str">
        <f t="shared" si="35"/>
        <v>MILE</v>
      </c>
      <c r="AF604" s="8" t="str">
        <f t="shared" si="35"/>
        <v>FT</v>
      </c>
      <c r="AG604" s="8" t="str">
        <f t="shared" si="35"/>
        <v>SF</v>
      </c>
      <c r="AH604" s="8" t="str">
        <f t="shared" si="35"/>
        <v>EACH</v>
      </c>
      <c r="AI604" s="8" t="str">
        <f t="shared" si="35"/>
        <v>EACH</v>
      </c>
    </row>
    <row r="605" spans="2:35" ht="12.75" customHeight="1" x14ac:dyDescent="0.2">
      <c r="B605" s="21"/>
      <c r="D605" s="37" t="s">
        <v>456</v>
      </c>
      <c r="E605" s="37">
        <v>18</v>
      </c>
      <c r="F605" s="386">
        <v>5173</v>
      </c>
      <c r="G605" s="387"/>
      <c r="H605" s="11"/>
      <c r="I605" s="354" t="s">
        <v>128</v>
      </c>
      <c r="J605" s="356"/>
      <c r="K605" s="38" t="s">
        <v>24</v>
      </c>
      <c r="L605" s="37"/>
      <c r="M605" s="37"/>
      <c r="N605" s="37"/>
      <c r="O605" s="37"/>
      <c r="P605" s="43"/>
      <c r="Q605" s="3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>
        <f>(3.5+7+1)*2</f>
        <v>23</v>
      </c>
      <c r="AG605" s="9">
        <f>6*1</f>
        <v>6</v>
      </c>
      <c r="AH605" s="9"/>
      <c r="AI605" s="9"/>
    </row>
    <row r="606" spans="2:35" ht="12.75" customHeight="1" x14ac:dyDescent="0.2">
      <c r="B606" s="22"/>
      <c r="D606" s="11" t="s">
        <v>457</v>
      </c>
      <c r="E606" s="11">
        <v>18</v>
      </c>
      <c r="F606" s="343">
        <v>5165</v>
      </c>
      <c r="G606" s="343"/>
      <c r="H606" s="11"/>
      <c r="I606" s="344" t="s">
        <v>127</v>
      </c>
      <c r="J606" s="345"/>
      <c r="K606" s="13" t="s">
        <v>24</v>
      </c>
      <c r="L606" s="11"/>
      <c r="M606" s="11"/>
      <c r="N606" s="11"/>
      <c r="O606" s="11"/>
      <c r="P606" s="35"/>
      <c r="Q606" s="32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>
        <f>3.5+7+2.75</f>
        <v>13.25</v>
      </c>
      <c r="AG606" s="11">
        <f>4</f>
        <v>4</v>
      </c>
      <c r="AH606" s="11"/>
      <c r="AI606" s="11"/>
    </row>
    <row r="607" spans="2:35" ht="12.75" customHeight="1" x14ac:dyDescent="0.2">
      <c r="B607" s="22"/>
      <c r="D607" s="52" t="s">
        <v>458</v>
      </c>
      <c r="E607" s="11">
        <v>18</v>
      </c>
      <c r="F607" s="343">
        <v>5217</v>
      </c>
      <c r="G607" s="343"/>
      <c r="H607" s="11"/>
      <c r="I607" s="344" t="s">
        <v>126</v>
      </c>
      <c r="J607" s="345"/>
      <c r="K607" s="13" t="s">
        <v>24</v>
      </c>
      <c r="L607" s="11"/>
      <c r="M607" s="11"/>
      <c r="N607" s="11"/>
      <c r="O607" s="11"/>
      <c r="P607" s="11"/>
      <c r="Q607" s="32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>
        <f>(3.5+7+2)*2</f>
        <v>25</v>
      </c>
      <c r="AG607" s="11">
        <f>2*4</f>
        <v>8</v>
      </c>
      <c r="AH607" s="11"/>
      <c r="AI607" s="11"/>
    </row>
    <row r="608" spans="2:35" ht="12.75" customHeight="1" x14ac:dyDescent="0.2">
      <c r="B608" s="22"/>
      <c r="D608" s="11" t="s">
        <v>459</v>
      </c>
      <c r="E608" s="40">
        <v>18</v>
      </c>
      <c r="F608" s="346">
        <v>68540</v>
      </c>
      <c r="G608" s="347"/>
      <c r="H608" s="40"/>
      <c r="I608" s="357" t="s">
        <v>129</v>
      </c>
      <c r="J608" s="359"/>
      <c r="K608" s="13" t="s">
        <v>24</v>
      </c>
      <c r="L608" s="40"/>
      <c r="M608" s="40"/>
      <c r="N608" s="40"/>
      <c r="O608" s="40"/>
      <c r="P608" s="40"/>
      <c r="Q608" s="42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>
        <f>3.5+7+1+2+1.25</f>
        <v>14.75</v>
      </c>
      <c r="AG608" s="11">
        <f>2*1</f>
        <v>2</v>
      </c>
      <c r="AH608" s="11"/>
      <c r="AI608" s="11"/>
    </row>
    <row r="609" spans="2:35" ht="12.75" customHeight="1" x14ac:dyDescent="0.2">
      <c r="B609" s="22"/>
      <c r="D609" s="11"/>
      <c r="E609" s="11">
        <v>18</v>
      </c>
      <c r="F609" s="346">
        <v>68540</v>
      </c>
      <c r="G609" s="347"/>
      <c r="H609" s="11"/>
      <c r="I609" s="344" t="s">
        <v>122</v>
      </c>
      <c r="J609" s="345"/>
      <c r="K609" s="13" t="s">
        <v>24</v>
      </c>
      <c r="L609" s="11"/>
      <c r="M609" s="11"/>
      <c r="N609" s="11"/>
      <c r="O609" s="11"/>
      <c r="P609" s="11"/>
      <c r="Q609" s="32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>
        <f>2*2</f>
        <v>4</v>
      </c>
      <c r="AH609" s="11"/>
      <c r="AI609" s="11"/>
    </row>
    <row r="610" spans="2:35" ht="12.75" customHeight="1" x14ac:dyDescent="0.2">
      <c r="B610" s="22"/>
      <c r="D610" s="11"/>
      <c r="E610" s="11">
        <v>18</v>
      </c>
      <c r="F610" s="346">
        <v>68540</v>
      </c>
      <c r="G610" s="347"/>
      <c r="H610" s="11"/>
      <c r="I610" s="344" t="s">
        <v>125</v>
      </c>
      <c r="J610" s="345"/>
      <c r="K610" s="13" t="s">
        <v>24</v>
      </c>
      <c r="L610" s="11"/>
      <c r="M610" s="11"/>
      <c r="N610" s="11"/>
      <c r="O610" s="11"/>
      <c r="P610" s="11"/>
      <c r="Q610" s="32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>
        <f>1.75*1.25</f>
        <v>2.1875</v>
      </c>
      <c r="AH610" s="11"/>
      <c r="AI610" s="11"/>
    </row>
    <row r="611" spans="2:35" ht="12.75" customHeight="1" x14ac:dyDescent="0.2">
      <c r="B611" s="22"/>
      <c r="D611" s="11" t="s">
        <v>460</v>
      </c>
      <c r="E611" s="11">
        <v>19</v>
      </c>
      <c r="F611" s="337"/>
      <c r="G611" s="339"/>
      <c r="H611" s="11"/>
      <c r="I611" s="344"/>
      <c r="J611" s="345"/>
      <c r="K611" s="13" t="s">
        <v>25</v>
      </c>
      <c r="L611" s="11"/>
      <c r="M611" s="11"/>
      <c r="N611" s="11"/>
      <c r="O611" s="11"/>
      <c r="P611" s="11"/>
      <c r="Q611" s="32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>
        <v>1</v>
      </c>
      <c r="AI611" s="11">
        <v>1</v>
      </c>
    </row>
    <row r="612" spans="2:35" ht="12.75" customHeight="1" x14ac:dyDescent="0.2">
      <c r="B612" s="22"/>
      <c r="D612" s="11" t="s">
        <v>461</v>
      </c>
      <c r="E612" s="11">
        <v>19</v>
      </c>
      <c r="F612" s="337"/>
      <c r="G612" s="339"/>
      <c r="H612" s="11"/>
      <c r="I612" s="344"/>
      <c r="J612" s="345"/>
      <c r="K612" s="13" t="s">
        <v>25</v>
      </c>
      <c r="L612" s="11"/>
      <c r="M612" s="11"/>
      <c r="N612" s="11"/>
      <c r="O612" s="11"/>
      <c r="P612" s="11"/>
      <c r="Q612" s="32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>
        <v>1</v>
      </c>
      <c r="AI612" s="11">
        <v>1</v>
      </c>
    </row>
    <row r="613" spans="2:35" ht="12.75" customHeight="1" x14ac:dyDescent="0.2">
      <c r="B613" s="22"/>
      <c r="D613" s="11" t="s">
        <v>462</v>
      </c>
      <c r="E613" s="11">
        <v>19</v>
      </c>
      <c r="F613" s="337"/>
      <c r="G613" s="339"/>
      <c r="H613" s="11"/>
      <c r="I613" s="344"/>
      <c r="J613" s="345"/>
      <c r="K613" s="13" t="s">
        <v>24</v>
      </c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>
        <v>2</v>
      </c>
      <c r="AI613" s="11">
        <v>2</v>
      </c>
    </row>
    <row r="614" spans="2:35" ht="12.75" customHeight="1" x14ac:dyDescent="0.2">
      <c r="B614" s="22"/>
      <c r="D614" s="11" t="s">
        <v>463</v>
      </c>
      <c r="E614" s="11">
        <v>19</v>
      </c>
      <c r="F614" s="337"/>
      <c r="G614" s="339"/>
      <c r="H614" s="11"/>
      <c r="I614" s="344"/>
      <c r="J614" s="345"/>
      <c r="K614" s="13" t="s">
        <v>25</v>
      </c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>
        <v>3</v>
      </c>
      <c r="AI614" s="11">
        <v>2</v>
      </c>
    </row>
    <row r="615" spans="2:35" ht="12.75" customHeight="1" x14ac:dyDescent="0.2">
      <c r="B615" s="22"/>
      <c r="D615" s="11" t="s">
        <v>464</v>
      </c>
      <c r="E615" s="11">
        <v>19</v>
      </c>
      <c r="F615" s="337">
        <v>68662</v>
      </c>
      <c r="G615" s="339"/>
      <c r="H615" s="11"/>
      <c r="I615" s="344" t="s">
        <v>130</v>
      </c>
      <c r="J615" s="345"/>
      <c r="K615" s="13" t="s">
        <v>24</v>
      </c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>
        <f>(3.5+7+2.5)*2</f>
        <v>26</v>
      </c>
      <c r="AG615" s="11">
        <f>4*2.5</f>
        <v>10</v>
      </c>
      <c r="AH615" s="11"/>
      <c r="AI615" s="11"/>
    </row>
    <row r="616" spans="2:35" ht="12.75" customHeight="1" x14ac:dyDescent="0.2">
      <c r="B616" s="22"/>
      <c r="D616" s="11" t="s">
        <v>465</v>
      </c>
      <c r="E616" s="11">
        <v>19</v>
      </c>
      <c r="F616" s="337">
        <v>68719</v>
      </c>
      <c r="G616" s="339"/>
      <c r="H616" s="11"/>
      <c r="I616" s="344" t="s">
        <v>118</v>
      </c>
      <c r="J616" s="345"/>
      <c r="K616" s="13" t="s">
        <v>24</v>
      </c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>
        <f>3.5+7+2.5+2.5</f>
        <v>15.5</v>
      </c>
      <c r="AG616" s="11">
        <f>2*2.5</f>
        <v>5</v>
      </c>
      <c r="AH616" s="11"/>
      <c r="AI616" s="11"/>
    </row>
    <row r="617" spans="2:35" ht="12.75" customHeight="1" x14ac:dyDescent="0.2">
      <c r="B617" s="22"/>
      <c r="D617" s="11"/>
      <c r="E617" s="11">
        <v>19</v>
      </c>
      <c r="F617" s="337">
        <v>68719</v>
      </c>
      <c r="G617" s="339"/>
      <c r="H617" s="11"/>
      <c r="I617" s="344" t="s">
        <v>119</v>
      </c>
      <c r="J617" s="345"/>
      <c r="K617" s="13" t="s">
        <v>24</v>
      </c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32"/>
      <c r="Y617" s="11"/>
      <c r="Z617" s="11"/>
      <c r="AA617" s="11"/>
      <c r="AB617" s="11"/>
      <c r="AC617" s="11"/>
      <c r="AD617" s="11"/>
      <c r="AE617" s="11"/>
      <c r="AF617" s="11"/>
      <c r="AG617" s="11">
        <f>1.5*1.5</f>
        <v>2.25</v>
      </c>
      <c r="AH617" s="11"/>
      <c r="AI617" s="11"/>
    </row>
    <row r="618" spans="2:35" ht="12.75" customHeight="1" x14ac:dyDescent="0.2">
      <c r="B618" s="22"/>
      <c r="D618" s="11" t="s">
        <v>466</v>
      </c>
      <c r="E618" s="11">
        <v>19</v>
      </c>
      <c r="F618" s="337">
        <v>68862</v>
      </c>
      <c r="G618" s="339"/>
      <c r="H618" s="11"/>
      <c r="I618" s="344" t="s">
        <v>129</v>
      </c>
      <c r="J618" s="345"/>
      <c r="K618" s="13" t="s">
        <v>24</v>
      </c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>
        <f>3.5+7+2.5+2+2+1</f>
        <v>18</v>
      </c>
      <c r="AG618" s="11">
        <f>2*1</f>
        <v>2</v>
      </c>
      <c r="AH618" s="11"/>
      <c r="AI618" s="11"/>
    </row>
    <row r="619" spans="2:35" ht="12.75" customHeight="1" x14ac:dyDescent="0.2">
      <c r="B619" s="22"/>
      <c r="D619" s="11"/>
      <c r="E619" s="11">
        <v>19</v>
      </c>
      <c r="F619" s="337">
        <v>68862</v>
      </c>
      <c r="G619" s="339"/>
      <c r="H619" s="11"/>
      <c r="I619" s="344" t="s">
        <v>122</v>
      </c>
      <c r="J619" s="345"/>
      <c r="K619" s="13" t="s">
        <v>24</v>
      </c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>
        <f>2*2</f>
        <v>4</v>
      </c>
      <c r="AH619" s="11"/>
      <c r="AI619" s="11"/>
    </row>
    <row r="620" spans="2:35" ht="12.75" customHeight="1" x14ac:dyDescent="0.2">
      <c r="B620" s="22"/>
      <c r="D620" s="11"/>
      <c r="E620" s="11">
        <v>19</v>
      </c>
      <c r="F620" s="337">
        <v>68862</v>
      </c>
      <c r="G620" s="339"/>
      <c r="H620" s="11"/>
      <c r="I620" s="344" t="s">
        <v>123</v>
      </c>
      <c r="J620" s="345"/>
      <c r="K620" s="13" t="s">
        <v>24</v>
      </c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>
        <f>2*2</f>
        <v>4</v>
      </c>
      <c r="AH620" s="11"/>
      <c r="AI620" s="11"/>
    </row>
    <row r="621" spans="2:35" ht="12.75" customHeight="1" x14ac:dyDescent="0.2">
      <c r="B621" s="22"/>
      <c r="D621" s="11" t="s">
        <v>467</v>
      </c>
      <c r="E621" s="11">
        <v>19</v>
      </c>
      <c r="F621" s="337">
        <v>68850</v>
      </c>
      <c r="G621" s="339"/>
      <c r="H621" s="11"/>
      <c r="I621" s="344" t="s">
        <v>117</v>
      </c>
      <c r="J621" s="345"/>
      <c r="K621" s="13" t="s">
        <v>25</v>
      </c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>
        <f>3.5+7+4.5</f>
        <v>15</v>
      </c>
      <c r="AG621" s="11">
        <f>3*3</f>
        <v>9</v>
      </c>
      <c r="AH621" s="11"/>
      <c r="AI621" s="11"/>
    </row>
    <row r="622" spans="2:35" ht="12.75" customHeight="1" x14ac:dyDescent="0.2">
      <c r="B622" s="22"/>
      <c r="D622" s="11" t="s">
        <v>468</v>
      </c>
      <c r="E622" s="11">
        <v>19</v>
      </c>
      <c r="F622" s="337">
        <v>69077</v>
      </c>
      <c r="G622" s="339"/>
      <c r="H622" s="11"/>
      <c r="I622" s="344" t="s">
        <v>114</v>
      </c>
      <c r="J622" s="345"/>
      <c r="K622" s="13" t="s">
        <v>25</v>
      </c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>
        <f>3.5+7+4.5+1+1.5</f>
        <v>17.5</v>
      </c>
      <c r="AG622" s="11">
        <f>3*3</f>
        <v>9</v>
      </c>
      <c r="AH622" s="11"/>
      <c r="AI622" s="11"/>
    </row>
    <row r="623" spans="2:35" ht="12.75" customHeight="1" x14ac:dyDescent="0.2">
      <c r="B623" s="22"/>
      <c r="D623" s="11"/>
      <c r="E623" s="11">
        <v>19</v>
      </c>
      <c r="F623" s="337">
        <v>69077</v>
      </c>
      <c r="G623" s="339"/>
      <c r="H623" s="11"/>
      <c r="I623" s="344" t="s">
        <v>131</v>
      </c>
      <c r="J623" s="345"/>
      <c r="K623" s="13" t="s">
        <v>25</v>
      </c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>
        <f>3*1</f>
        <v>3</v>
      </c>
      <c r="AH623" s="11"/>
      <c r="AI623" s="11"/>
    </row>
    <row r="624" spans="2:35" ht="12.75" customHeight="1" x14ac:dyDescent="0.2">
      <c r="B624" s="22"/>
      <c r="D624" s="11"/>
      <c r="E624" s="11">
        <v>19</v>
      </c>
      <c r="F624" s="337">
        <v>69077</v>
      </c>
      <c r="G624" s="339"/>
      <c r="H624" s="11"/>
      <c r="I624" s="344" t="s">
        <v>116</v>
      </c>
      <c r="J624" s="345"/>
      <c r="K624" s="13" t="s">
        <v>25</v>
      </c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>
        <f>1.5*1.5</f>
        <v>2.25</v>
      </c>
      <c r="AH624" s="11"/>
      <c r="AI624" s="11"/>
    </row>
    <row r="625" spans="2:35" ht="12.75" customHeight="1" x14ac:dyDescent="0.2">
      <c r="B625" s="22"/>
      <c r="D625" s="11" t="s">
        <v>469</v>
      </c>
      <c r="E625" s="11">
        <v>21</v>
      </c>
      <c r="F625" s="337"/>
      <c r="G625" s="339"/>
      <c r="H625" s="11"/>
      <c r="I625" s="344"/>
      <c r="J625" s="345"/>
      <c r="K625" s="13" t="s">
        <v>24</v>
      </c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>
        <v>1</v>
      </c>
      <c r="AI625" s="11">
        <v>1</v>
      </c>
    </row>
    <row r="626" spans="2:35" ht="12.75" customHeight="1" x14ac:dyDescent="0.2">
      <c r="B626" s="22"/>
      <c r="D626" s="11" t="s">
        <v>470</v>
      </c>
      <c r="E626" s="11">
        <v>21</v>
      </c>
      <c r="F626" s="337"/>
      <c r="G626" s="339"/>
      <c r="H626" s="11"/>
      <c r="I626" s="344"/>
      <c r="J626" s="345"/>
      <c r="K626" s="13" t="s">
        <v>24</v>
      </c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>
        <v>1</v>
      </c>
      <c r="AI626" s="11">
        <v>1</v>
      </c>
    </row>
    <row r="627" spans="2:35" ht="12.75" customHeight="1" x14ac:dyDescent="0.2">
      <c r="B627" s="22"/>
      <c r="D627" s="11" t="s">
        <v>471</v>
      </c>
      <c r="E627" s="11">
        <v>21</v>
      </c>
      <c r="F627" s="337">
        <v>69330</v>
      </c>
      <c r="G627" s="339"/>
      <c r="H627" s="11"/>
      <c r="I627" s="344" t="s">
        <v>133</v>
      </c>
      <c r="J627" s="345"/>
      <c r="K627" s="13" t="s">
        <v>24</v>
      </c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>
        <f>3.5+7+1+2.5</f>
        <v>14</v>
      </c>
      <c r="AG627" s="11">
        <f>2*2.5</f>
        <v>5</v>
      </c>
      <c r="AH627" s="11"/>
      <c r="AI627" s="11"/>
    </row>
    <row r="628" spans="2:35" ht="12.75" customHeight="1" x14ac:dyDescent="0.2">
      <c r="B628" s="22"/>
      <c r="D628" s="11"/>
      <c r="E628" s="11">
        <v>21</v>
      </c>
      <c r="F628" s="337">
        <v>69330</v>
      </c>
      <c r="G628" s="339"/>
      <c r="H628" s="11"/>
      <c r="I628" s="344" t="s">
        <v>132</v>
      </c>
      <c r="J628" s="345"/>
      <c r="K628" s="13" t="s">
        <v>24</v>
      </c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>
        <f>1*1</f>
        <v>1</v>
      </c>
      <c r="AH628" s="11"/>
      <c r="AI628" s="11"/>
    </row>
    <row r="629" spans="2:35" ht="12.75" customHeight="1" x14ac:dyDescent="0.2">
      <c r="B629" s="22"/>
      <c r="D629" s="11" t="s">
        <v>472</v>
      </c>
      <c r="E629" s="11">
        <v>23</v>
      </c>
      <c r="F629" s="337"/>
      <c r="G629" s="339"/>
      <c r="H629" s="11"/>
      <c r="I629" s="344"/>
      <c r="J629" s="345"/>
      <c r="K629" s="13" t="s">
        <v>25</v>
      </c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32"/>
      <c r="Y629" s="11"/>
      <c r="Z629" s="11"/>
      <c r="AA629" s="11"/>
      <c r="AB629" s="11"/>
      <c r="AC629" s="11"/>
      <c r="AD629" s="11"/>
      <c r="AE629" s="11"/>
      <c r="AF629" s="11"/>
      <c r="AG629" s="11"/>
      <c r="AH629" s="11">
        <v>1</v>
      </c>
      <c r="AI629" s="11">
        <v>1</v>
      </c>
    </row>
    <row r="630" spans="2:35" ht="12.75" customHeight="1" x14ac:dyDescent="0.2">
      <c r="B630" s="22"/>
      <c r="D630" s="11" t="s">
        <v>473</v>
      </c>
      <c r="E630" s="11">
        <v>23</v>
      </c>
      <c r="F630" s="337"/>
      <c r="G630" s="339"/>
      <c r="H630" s="11"/>
      <c r="I630" s="344"/>
      <c r="J630" s="345"/>
      <c r="K630" s="13" t="s">
        <v>25</v>
      </c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32"/>
      <c r="Y630" s="11"/>
      <c r="Z630" s="11"/>
      <c r="AA630" s="11"/>
      <c r="AB630" s="11"/>
      <c r="AC630" s="11"/>
      <c r="AD630" s="11"/>
      <c r="AE630" s="11"/>
      <c r="AF630" s="11"/>
      <c r="AG630" s="11"/>
      <c r="AH630" s="11">
        <v>1</v>
      </c>
      <c r="AI630" s="11">
        <v>1</v>
      </c>
    </row>
    <row r="631" spans="2:35" ht="12.75" customHeight="1" x14ac:dyDescent="0.2">
      <c r="B631" s="22"/>
      <c r="D631" s="11" t="s">
        <v>474</v>
      </c>
      <c r="E631" s="11">
        <v>23</v>
      </c>
      <c r="F631" s="337"/>
      <c r="G631" s="339"/>
      <c r="H631" s="11"/>
      <c r="I631" s="344"/>
      <c r="J631" s="345"/>
      <c r="K631" s="13" t="s">
        <v>25</v>
      </c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>
        <v>1</v>
      </c>
      <c r="AI631" s="11">
        <v>1</v>
      </c>
    </row>
    <row r="632" spans="2:35" ht="12.75" customHeight="1" x14ac:dyDescent="0.2">
      <c r="B632" s="22"/>
      <c r="D632" s="11" t="s">
        <v>475</v>
      </c>
      <c r="E632" s="11">
        <v>23</v>
      </c>
      <c r="F632" s="337">
        <v>70478</v>
      </c>
      <c r="G632" s="339"/>
      <c r="H632" s="11"/>
      <c r="I632" s="344" t="s">
        <v>134</v>
      </c>
      <c r="J632" s="345"/>
      <c r="K632" s="13" t="s">
        <v>25</v>
      </c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>
        <f>3.5+7+4.5</f>
        <v>15</v>
      </c>
      <c r="AG632" s="11">
        <f>3*3</f>
        <v>9</v>
      </c>
      <c r="AH632" s="11"/>
      <c r="AI632" s="11"/>
    </row>
    <row r="633" spans="2:35" ht="12.75" customHeight="1" x14ac:dyDescent="0.2">
      <c r="B633" s="22"/>
      <c r="D633" s="11" t="s">
        <v>476</v>
      </c>
      <c r="E633" s="11">
        <v>23</v>
      </c>
      <c r="F633" s="337">
        <v>70630</v>
      </c>
      <c r="G633" s="339"/>
      <c r="H633" s="11"/>
      <c r="I633" s="344" t="s">
        <v>98</v>
      </c>
      <c r="J633" s="345"/>
      <c r="K633" s="13" t="s">
        <v>25</v>
      </c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>
        <f>3.5+7+3</f>
        <v>13.5</v>
      </c>
      <c r="AG633" s="11">
        <f>(3*3)-(4*0.5)</f>
        <v>7</v>
      </c>
      <c r="AH633" s="11"/>
      <c r="AI633" s="11"/>
    </row>
    <row r="634" spans="2:35" ht="12.75" customHeight="1" x14ac:dyDescent="0.2">
      <c r="B634" s="22"/>
      <c r="D634" s="11" t="s">
        <v>477</v>
      </c>
      <c r="E634" s="11">
        <v>23</v>
      </c>
      <c r="F634" s="337">
        <v>70689</v>
      </c>
      <c r="G634" s="339"/>
      <c r="H634" s="11"/>
      <c r="I634" s="344" t="s">
        <v>98</v>
      </c>
      <c r="J634" s="345"/>
      <c r="K634" s="13" t="s">
        <v>25</v>
      </c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>
        <f>3.5+7+3</f>
        <v>13.5</v>
      </c>
      <c r="AG634" s="11">
        <f>(3*3)-(4*0.5)</f>
        <v>7</v>
      </c>
      <c r="AH634" s="11"/>
      <c r="AI634" s="11"/>
    </row>
    <row r="635" spans="2:35" ht="12.75" customHeight="1" x14ac:dyDescent="0.2">
      <c r="B635" s="22"/>
      <c r="D635" s="11" t="s">
        <v>480</v>
      </c>
      <c r="E635" s="11">
        <v>24</v>
      </c>
      <c r="F635" s="337"/>
      <c r="G635" s="339"/>
      <c r="H635" s="11"/>
      <c r="I635" s="344"/>
      <c r="J635" s="345"/>
      <c r="K635" s="13" t="s">
        <v>25</v>
      </c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>
        <v>1</v>
      </c>
      <c r="AI635" s="11">
        <v>1</v>
      </c>
    </row>
    <row r="636" spans="2:35" ht="12.75" customHeight="1" x14ac:dyDescent="0.2">
      <c r="B636" s="22"/>
      <c r="D636" s="11" t="s">
        <v>481</v>
      </c>
      <c r="E636" s="11">
        <v>24</v>
      </c>
      <c r="F636" s="337"/>
      <c r="G636" s="339"/>
      <c r="H636" s="11"/>
      <c r="I636" s="344"/>
      <c r="J636" s="345"/>
      <c r="K636" s="13" t="s">
        <v>25</v>
      </c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>
        <v>1</v>
      </c>
      <c r="AI636" s="11">
        <v>1</v>
      </c>
    </row>
    <row r="637" spans="2:35" ht="12.75" customHeight="1" x14ac:dyDescent="0.2">
      <c r="B637" s="22"/>
      <c r="D637" s="11" t="s">
        <v>478</v>
      </c>
      <c r="E637" s="11">
        <v>24</v>
      </c>
      <c r="F637" s="337">
        <v>71046</v>
      </c>
      <c r="G637" s="339"/>
      <c r="H637" s="11"/>
      <c r="I637" s="344" t="s">
        <v>101</v>
      </c>
      <c r="J637" s="345"/>
      <c r="K637" s="13" t="s">
        <v>24</v>
      </c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>
        <f>3.5+7+4.5+1</f>
        <v>16</v>
      </c>
      <c r="AG637" s="6">
        <f>3*3</f>
        <v>9</v>
      </c>
      <c r="AH637" s="11"/>
      <c r="AI637" s="11"/>
    </row>
    <row r="638" spans="2:35" ht="12.75" customHeight="1" x14ac:dyDescent="0.2">
      <c r="B638" s="22"/>
      <c r="D638" s="11"/>
      <c r="E638" s="11">
        <v>24</v>
      </c>
      <c r="F638" s="337">
        <v>71046</v>
      </c>
      <c r="G638" s="339"/>
      <c r="H638" s="11"/>
      <c r="I638" s="344" t="s">
        <v>100</v>
      </c>
      <c r="J638" s="345"/>
      <c r="K638" s="13" t="s">
        <v>24</v>
      </c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>
        <f>2*1</f>
        <v>2</v>
      </c>
      <c r="AH638" s="11"/>
      <c r="AI638" s="11"/>
    </row>
    <row r="639" spans="2:35" ht="12.75" customHeight="1" x14ac:dyDescent="0.2">
      <c r="B639" s="22"/>
      <c r="D639" s="11" t="s">
        <v>479</v>
      </c>
      <c r="E639" s="11">
        <v>24</v>
      </c>
      <c r="F639" s="337">
        <v>71061</v>
      </c>
      <c r="G639" s="339"/>
      <c r="H639" s="11"/>
      <c r="I639" s="344" t="s">
        <v>124</v>
      </c>
      <c r="J639" s="345"/>
      <c r="K639" s="13" t="s">
        <v>24</v>
      </c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>
        <f>3.5+7+2.5</f>
        <v>13</v>
      </c>
      <c r="AG639" s="11">
        <f>2*2.5</f>
        <v>5</v>
      </c>
      <c r="AH639" s="11"/>
      <c r="AI639" s="11"/>
    </row>
    <row r="640" spans="2:35" ht="12.75" customHeight="1" x14ac:dyDescent="0.2">
      <c r="B640" s="22"/>
      <c r="D640" s="11" t="s">
        <v>483</v>
      </c>
      <c r="E640" s="11">
        <v>24</v>
      </c>
      <c r="F640" s="337">
        <v>71063</v>
      </c>
      <c r="G640" s="339"/>
      <c r="H640" s="11"/>
      <c r="I640" s="344" t="s">
        <v>124</v>
      </c>
      <c r="J640" s="345"/>
      <c r="K640" s="13" t="s">
        <v>25</v>
      </c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>
        <f>3.5+7+2.5</f>
        <v>13</v>
      </c>
      <c r="AG640" s="11">
        <f>2*2.5</f>
        <v>5</v>
      </c>
      <c r="AH640" s="11"/>
      <c r="AI640" s="11"/>
    </row>
    <row r="641" spans="2:35" ht="12.75" customHeight="1" x14ac:dyDescent="0.2">
      <c r="B641" s="22"/>
      <c r="D641" s="11" t="s">
        <v>484</v>
      </c>
      <c r="E641" s="11">
        <v>24</v>
      </c>
      <c r="F641" s="337">
        <v>71111</v>
      </c>
      <c r="G641" s="339"/>
      <c r="H641" s="11"/>
      <c r="I641" s="344" t="s">
        <v>101</v>
      </c>
      <c r="J641" s="345"/>
      <c r="K641" s="13" t="s">
        <v>25</v>
      </c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>
        <f>3.5+7+4.5+1</f>
        <v>16</v>
      </c>
      <c r="AG641" s="6">
        <f>3*3</f>
        <v>9</v>
      </c>
      <c r="AH641" s="11"/>
      <c r="AI641" s="11"/>
    </row>
    <row r="642" spans="2:35" ht="12.75" customHeight="1" x14ac:dyDescent="0.2">
      <c r="B642" s="22"/>
      <c r="D642" s="11"/>
      <c r="E642" s="11">
        <v>24</v>
      </c>
      <c r="F642" s="337">
        <v>71111</v>
      </c>
      <c r="G642" s="339"/>
      <c r="H642" s="11"/>
      <c r="I642" s="344" t="s">
        <v>100</v>
      </c>
      <c r="J642" s="345"/>
      <c r="K642" s="13" t="s">
        <v>25</v>
      </c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>
        <f>2*1</f>
        <v>2</v>
      </c>
      <c r="AH642" s="11"/>
      <c r="AI642" s="11"/>
    </row>
    <row r="643" spans="2:35" ht="12.75" customHeight="1" x14ac:dyDescent="0.2">
      <c r="B643" s="22"/>
      <c r="D643" s="11" t="s">
        <v>482</v>
      </c>
      <c r="E643" s="11">
        <v>27</v>
      </c>
      <c r="F643" s="337">
        <v>72645</v>
      </c>
      <c r="G643" s="339"/>
      <c r="H643" s="11"/>
      <c r="I643" s="344"/>
      <c r="J643" s="345"/>
      <c r="K643" s="13" t="s">
        <v>24</v>
      </c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>
        <v>2</v>
      </c>
      <c r="AI643" s="11">
        <v>1</v>
      </c>
    </row>
    <row r="644" spans="2:35" ht="12.75" customHeight="1" x14ac:dyDescent="0.2">
      <c r="B644" s="22"/>
      <c r="D644" s="11" t="s">
        <v>485</v>
      </c>
      <c r="E644" s="11">
        <v>28</v>
      </c>
      <c r="F644" s="337">
        <v>172637</v>
      </c>
      <c r="G644" s="339"/>
      <c r="H644" s="11"/>
      <c r="I644" s="344"/>
      <c r="J644" s="345"/>
      <c r="K644" s="13" t="s">
        <v>25</v>
      </c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>
        <v>1</v>
      </c>
      <c r="AI644" s="11">
        <v>1</v>
      </c>
    </row>
    <row r="645" spans="2:35" ht="12.75" customHeight="1" x14ac:dyDescent="0.2">
      <c r="B645" s="22"/>
      <c r="D645" s="11" t="s">
        <v>486</v>
      </c>
      <c r="E645" s="11">
        <v>28</v>
      </c>
      <c r="F645" s="337"/>
      <c r="G645" s="339"/>
      <c r="H645" s="11"/>
      <c r="I645" s="344"/>
      <c r="J645" s="345"/>
      <c r="K645" s="13" t="s">
        <v>24</v>
      </c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>
        <v>2</v>
      </c>
      <c r="AI645" s="11">
        <v>1</v>
      </c>
    </row>
    <row r="646" spans="2:35" ht="12.75" customHeight="1" x14ac:dyDescent="0.2">
      <c r="B646" s="22"/>
      <c r="D646" s="11" t="s">
        <v>487</v>
      </c>
      <c r="E646" s="11">
        <v>28</v>
      </c>
      <c r="F646" s="337"/>
      <c r="G646" s="339"/>
      <c r="H646" s="11"/>
      <c r="I646" s="344"/>
      <c r="J646" s="345"/>
      <c r="K646" s="13" t="s">
        <v>25</v>
      </c>
      <c r="L646" s="11"/>
      <c r="M646" s="11"/>
      <c r="N646" s="35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>
        <v>2</v>
      </c>
      <c r="AI646" s="11">
        <v>1</v>
      </c>
    </row>
    <row r="647" spans="2:35" ht="12.75" customHeight="1" x14ac:dyDescent="0.2">
      <c r="B647" s="22"/>
      <c r="D647" s="11" t="s">
        <v>488</v>
      </c>
      <c r="E647" s="11">
        <v>28</v>
      </c>
      <c r="F647" s="337">
        <v>172637</v>
      </c>
      <c r="G647" s="339"/>
      <c r="H647" s="11"/>
      <c r="I647" s="344" t="s">
        <v>109</v>
      </c>
      <c r="J647" s="345"/>
      <c r="K647" s="13" t="s">
        <v>25</v>
      </c>
      <c r="L647" s="11"/>
      <c r="M647" s="11"/>
      <c r="N647" s="35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>
        <f>3.5+7+2.5</f>
        <v>13</v>
      </c>
      <c r="AG647" s="11">
        <f>2*2.5</f>
        <v>5</v>
      </c>
      <c r="AH647" s="11"/>
      <c r="AI647" s="11"/>
    </row>
    <row r="648" spans="2:35" ht="12.75" customHeight="1" x14ac:dyDescent="0.2">
      <c r="B648" s="22"/>
      <c r="D648" s="11" t="s">
        <v>489</v>
      </c>
      <c r="E648" s="11">
        <v>28</v>
      </c>
      <c r="F648" s="337">
        <v>172688</v>
      </c>
      <c r="G648" s="339"/>
      <c r="H648" s="11"/>
      <c r="I648" s="344" t="s">
        <v>135</v>
      </c>
      <c r="J648" s="345"/>
      <c r="K648" s="13" t="s">
        <v>24</v>
      </c>
      <c r="L648" s="11"/>
      <c r="M648" s="11"/>
      <c r="N648" s="11"/>
      <c r="O648" s="35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>
        <f>3.5+7+4.5+1.5</f>
        <v>16.5</v>
      </c>
      <c r="AG648" s="11">
        <f>3*3</f>
        <v>9</v>
      </c>
      <c r="AH648" s="11"/>
      <c r="AI648" s="11"/>
    </row>
    <row r="649" spans="2:35" ht="12.75" customHeight="1" x14ac:dyDescent="0.2">
      <c r="B649" s="22"/>
      <c r="D649" s="11"/>
      <c r="E649" s="11">
        <v>28</v>
      </c>
      <c r="F649" s="337">
        <v>172688</v>
      </c>
      <c r="G649" s="339"/>
      <c r="H649" s="11"/>
      <c r="I649" s="344" t="s">
        <v>116</v>
      </c>
      <c r="J649" s="345"/>
      <c r="K649" s="13" t="s">
        <v>24</v>
      </c>
      <c r="L649" s="11"/>
      <c r="M649" s="11"/>
      <c r="N649" s="11"/>
      <c r="O649" s="35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>
        <f>1.5*1.5</f>
        <v>2.25</v>
      </c>
      <c r="AH649" s="11"/>
      <c r="AI649" s="11"/>
    </row>
    <row r="650" spans="2:35" ht="12.75" customHeight="1" x14ac:dyDescent="0.2">
      <c r="B650" s="22"/>
      <c r="D650" s="11" t="s">
        <v>490</v>
      </c>
      <c r="E650" s="11">
        <v>29</v>
      </c>
      <c r="F650" s="343"/>
      <c r="G650" s="343"/>
      <c r="H650" s="13"/>
      <c r="I650" s="344"/>
      <c r="J650" s="345"/>
      <c r="K650" s="13" t="s">
        <v>24</v>
      </c>
      <c r="L650" s="11"/>
      <c r="M650" s="11"/>
      <c r="N650" s="11"/>
      <c r="O650" s="11"/>
      <c r="P650" s="35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>
        <v>2</v>
      </c>
      <c r="AI650" s="11">
        <v>2</v>
      </c>
    </row>
    <row r="651" spans="2:35" ht="12.75" customHeight="1" x14ac:dyDescent="0.2">
      <c r="B651" s="22"/>
      <c r="D651" s="11" t="s">
        <v>491</v>
      </c>
      <c r="E651" s="11">
        <v>29</v>
      </c>
      <c r="F651" s="343"/>
      <c r="G651" s="343"/>
      <c r="H651" s="13"/>
      <c r="I651" s="344"/>
      <c r="J651" s="345"/>
      <c r="K651" s="13" t="s">
        <v>24</v>
      </c>
      <c r="L651" s="11"/>
      <c r="M651" s="11"/>
      <c r="N651" s="11"/>
      <c r="O651" s="11"/>
      <c r="P651" s="35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>
        <v>2</v>
      </c>
      <c r="AI651" s="11">
        <v>2</v>
      </c>
    </row>
    <row r="652" spans="2:35" ht="12.75" customHeight="1" x14ac:dyDescent="0.2">
      <c r="B652" s="22"/>
      <c r="D652" s="11" t="s">
        <v>492</v>
      </c>
      <c r="E652" s="11">
        <v>29</v>
      </c>
      <c r="F652" s="343"/>
      <c r="G652" s="343"/>
      <c r="H652" s="13"/>
      <c r="I652" s="344"/>
      <c r="J652" s="345"/>
      <c r="K652" s="13" t="s">
        <v>24</v>
      </c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>
        <v>1</v>
      </c>
      <c r="AI652" s="11">
        <v>2</v>
      </c>
    </row>
    <row r="653" spans="2:35" ht="12.75" customHeight="1" x14ac:dyDescent="0.2">
      <c r="B653" s="22"/>
      <c r="D653" s="11" t="s">
        <v>493</v>
      </c>
      <c r="E653" s="11">
        <v>29</v>
      </c>
      <c r="F653" s="337"/>
      <c r="G653" s="339"/>
      <c r="H653" s="11"/>
      <c r="I653" s="344"/>
      <c r="J653" s="345"/>
      <c r="K653" s="13" t="s">
        <v>24</v>
      </c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>
        <v>1</v>
      </c>
      <c r="AI653" s="11">
        <v>2</v>
      </c>
    </row>
    <row r="654" spans="2:35" ht="12.75" customHeight="1" x14ac:dyDescent="0.2">
      <c r="B654" s="22"/>
      <c r="D654" s="11" t="s">
        <v>494</v>
      </c>
      <c r="E654" s="11">
        <v>29</v>
      </c>
      <c r="F654" s="337"/>
      <c r="G654" s="339"/>
      <c r="H654" s="11"/>
      <c r="I654" s="344"/>
      <c r="J654" s="345"/>
      <c r="K654" s="13" t="s">
        <v>24</v>
      </c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>
        <v>2</v>
      </c>
      <c r="AI654" s="11">
        <v>1</v>
      </c>
    </row>
    <row r="655" spans="2:35" ht="12.75" customHeight="1" x14ac:dyDescent="0.2">
      <c r="B655" s="22"/>
      <c r="D655" s="11" t="s">
        <v>495</v>
      </c>
      <c r="E655" s="11">
        <v>29</v>
      </c>
      <c r="F655" s="337"/>
      <c r="G655" s="339"/>
      <c r="H655" s="11"/>
      <c r="I655" s="344"/>
      <c r="J655" s="345"/>
      <c r="K655" s="13" t="s">
        <v>24</v>
      </c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>
        <v>2</v>
      </c>
      <c r="AI655" s="11">
        <v>1</v>
      </c>
    </row>
    <row r="656" spans="2:35" ht="12.75" customHeight="1" x14ac:dyDescent="0.2">
      <c r="B656" s="22"/>
      <c r="D656" s="11" t="s">
        <v>496</v>
      </c>
      <c r="E656" s="11">
        <v>29</v>
      </c>
      <c r="F656" s="337"/>
      <c r="G656" s="339"/>
      <c r="H656" s="11"/>
      <c r="I656" s="344"/>
      <c r="J656" s="345"/>
      <c r="K656" s="13" t="s">
        <v>24</v>
      </c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>
        <v>1</v>
      </c>
      <c r="AI656" s="11">
        <v>1</v>
      </c>
    </row>
    <row r="657" spans="2:35" ht="12.75" customHeight="1" x14ac:dyDescent="0.2">
      <c r="B657" s="22"/>
      <c r="D657" s="11" t="s">
        <v>497</v>
      </c>
      <c r="E657" s="11">
        <v>29</v>
      </c>
      <c r="F657" s="337"/>
      <c r="G657" s="339"/>
      <c r="H657" s="11"/>
      <c r="I657" s="344"/>
      <c r="J657" s="345"/>
      <c r="K657" s="13" t="s">
        <v>25</v>
      </c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>
        <v>1</v>
      </c>
      <c r="AI657" s="11">
        <v>1</v>
      </c>
    </row>
    <row r="658" spans="2:35" ht="12.75" customHeight="1" x14ac:dyDescent="0.2">
      <c r="B658" s="22"/>
      <c r="D658" s="11" t="s">
        <v>498</v>
      </c>
      <c r="E658" s="11">
        <v>29</v>
      </c>
      <c r="F658" s="337"/>
      <c r="G658" s="339"/>
      <c r="H658" s="11"/>
      <c r="I658" s="344"/>
      <c r="J658" s="345"/>
      <c r="K658" s="13" t="s">
        <v>24</v>
      </c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>
        <v>2</v>
      </c>
      <c r="AI658" s="11">
        <v>1</v>
      </c>
    </row>
    <row r="659" spans="2:35" ht="12.75" customHeight="1" x14ac:dyDescent="0.2">
      <c r="B659" s="22"/>
      <c r="D659" s="11" t="s">
        <v>499</v>
      </c>
      <c r="E659" s="11">
        <v>29</v>
      </c>
      <c r="F659" s="337">
        <v>172942</v>
      </c>
      <c r="G659" s="339"/>
      <c r="H659" s="11"/>
      <c r="I659" s="344" t="s">
        <v>108</v>
      </c>
      <c r="J659" s="345"/>
      <c r="K659" s="13" t="s">
        <v>24</v>
      </c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>
        <f>3.5+7+2</f>
        <v>12.5</v>
      </c>
      <c r="AG659" s="11">
        <f>1.5*2</f>
        <v>3</v>
      </c>
      <c r="AH659" s="11"/>
      <c r="AI659" s="11"/>
    </row>
    <row r="660" spans="2:35" ht="12.75" customHeight="1" x14ac:dyDescent="0.2">
      <c r="B660" s="22"/>
      <c r="D660" s="11"/>
      <c r="E660" s="11">
        <v>29</v>
      </c>
      <c r="F660" s="337">
        <v>172942</v>
      </c>
      <c r="G660" s="339"/>
      <c r="H660" s="11"/>
      <c r="I660" s="344" t="s">
        <v>107</v>
      </c>
      <c r="J660" s="345"/>
      <c r="K660" s="13" t="s">
        <v>24</v>
      </c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>
        <f>1.5*2</f>
        <v>3</v>
      </c>
      <c r="AH660" s="11"/>
      <c r="AI660" s="11"/>
    </row>
    <row r="661" spans="2:35" ht="12.75" customHeight="1" x14ac:dyDescent="0.2">
      <c r="B661" s="22"/>
      <c r="D661" s="11" t="s">
        <v>500</v>
      </c>
      <c r="E661" s="11">
        <v>29</v>
      </c>
      <c r="F661" s="337">
        <v>172989</v>
      </c>
      <c r="G661" s="339"/>
      <c r="H661" s="11"/>
      <c r="I661" s="344" t="s">
        <v>114</v>
      </c>
      <c r="J661" s="345"/>
      <c r="K661" s="13" t="s">
        <v>24</v>
      </c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>
        <f>3.5+7+1+1.5+4.5</f>
        <v>17.5</v>
      </c>
      <c r="AG661" s="11">
        <f>3*3</f>
        <v>9</v>
      </c>
      <c r="AH661" s="11"/>
      <c r="AI661" s="11"/>
    </row>
    <row r="662" spans="2:35" ht="12.75" customHeight="1" x14ac:dyDescent="0.2">
      <c r="B662" s="22"/>
      <c r="D662" s="11"/>
      <c r="E662" s="11">
        <v>29</v>
      </c>
      <c r="F662" s="337">
        <v>172989</v>
      </c>
      <c r="G662" s="339"/>
      <c r="H662" s="11"/>
      <c r="I662" s="344" t="s">
        <v>131</v>
      </c>
      <c r="J662" s="345"/>
      <c r="K662" s="13" t="s">
        <v>24</v>
      </c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>
        <f>3*1</f>
        <v>3</v>
      </c>
      <c r="AH662" s="11"/>
      <c r="AI662" s="11"/>
    </row>
    <row r="663" spans="2:35" ht="12.75" customHeight="1" x14ac:dyDescent="0.2">
      <c r="B663" s="22"/>
      <c r="D663" s="11"/>
      <c r="E663" s="11">
        <v>29</v>
      </c>
      <c r="F663" s="337">
        <v>172989</v>
      </c>
      <c r="G663" s="339"/>
      <c r="H663" s="11"/>
      <c r="I663" s="344" t="s">
        <v>116</v>
      </c>
      <c r="J663" s="345"/>
      <c r="K663" s="13" t="s">
        <v>24</v>
      </c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>
        <f>1.5*1.5</f>
        <v>2.25</v>
      </c>
      <c r="AH663" s="11"/>
      <c r="AI663" s="11"/>
    </row>
    <row r="664" spans="2:35" ht="12.75" customHeight="1" thickBot="1" x14ac:dyDescent="0.25">
      <c r="B664" s="23"/>
      <c r="D664" s="11" t="s">
        <v>501</v>
      </c>
      <c r="E664" s="11">
        <v>29</v>
      </c>
      <c r="F664" s="337">
        <v>173062</v>
      </c>
      <c r="G664" s="339"/>
      <c r="H664" s="11"/>
      <c r="I664" s="344" t="s">
        <v>108</v>
      </c>
      <c r="J664" s="345"/>
      <c r="K664" s="13" t="s">
        <v>24</v>
      </c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>
        <f>3.5+7+2</f>
        <v>12.5</v>
      </c>
      <c r="AG664" s="11">
        <f>1.5*2</f>
        <v>3</v>
      </c>
      <c r="AH664" s="11"/>
      <c r="AI664" s="11"/>
    </row>
    <row r="665" spans="2:35" ht="12.75" customHeight="1" x14ac:dyDescent="0.2">
      <c r="B665" s="5" t="s">
        <v>11</v>
      </c>
      <c r="D665" s="351" t="s">
        <v>2</v>
      </c>
      <c r="E665" s="352"/>
      <c r="F665" s="352"/>
      <c r="G665" s="352"/>
      <c r="H665" s="352"/>
      <c r="I665" s="352"/>
      <c r="J665" s="353"/>
      <c r="K665" s="14" t="str">
        <f t="shared" ref="K665:AI665" si="36">IF(K589="","",IF(OR(K604="", K604="LS", K604="LUMP"),IF(SUM(COUNTIF(K605:K664,"LS")+COUNTIF(K605:K664,"LUMP"))&gt;0,"LS",""),IF(SUM(K605:K664)&gt;0,ROUNDUP(SUM(K605:K664),0),"")))</f>
        <v/>
      </c>
      <c r="L665" s="14" t="str">
        <f t="shared" si="36"/>
        <v/>
      </c>
      <c r="M665" s="14" t="str">
        <f t="shared" si="36"/>
        <v/>
      </c>
      <c r="N665" s="14" t="str">
        <f t="shared" si="36"/>
        <v/>
      </c>
      <c r="O665" s="14" t="str">
        <f t="shared" si="36"/>
        <v/>
      </c>
      <c r="P665" s="14" t="str">
        <f t="shared" si="36"/>
        <v/>
      </c>
      <c r="Q665" s="14" t="str">
        <f t="shared" si="36"/>
        <v/>
      </c>
      <c r="R665" s="14" t="str">
        <f t="shared" si="36"/>
        <v/>
      </c>
      <c r="S665" s="14" t="str">
        <f t="shared" si="36"/>
        <v/>
      </c>
      <c r="T665" s="14" t="str">
        <f t="shared" si="36"/>
        <v/>
      </c>
      <c r="U665" s="14" t="str">
        <f t="shared" si="36"/>
        <v/>
      </c>
      <c r="V665" s="14" t="str">
        <f t="shared" si="36"/>
        <v/>
      </c>
      <c r="W665" s="14" t="str">
        <f t="shared" si="36"/>
        <v/>
      </c>
      <c r="X665" s="14" t="str">
        <f t="shared" si="36"/>
        <v/>
      </c>
      <c r="Y665" s="14" t="str">
        <f t="shared" si="36"/>
        <v/>
      </c>
      <c r="Z665" s="14" t="str">
        <f t="shared" si="36"/>
        <v/>
      </c>
      <c r="AA665" s="14" t="str">
        <f t="shared" si="36"/>
        <v/>
      </c>
      <c r="AB665" s="14" t="str">
        <f t="shared" si="36"/>
        <v/>
      </c>
      <c r="AC665" s="14" t="str">
        <f t="shared" si="36"/>
        <v/>
      </c>
      <c r="AD665" s="14" t="str">
        <f t="shared" si="36"/>
        <v/>
      </c>
      <c r="AE665" s="14" t="str">
        <f t="shared" si="36"/>
        <v/>
      </c>
      <c r="AF665" s="14">
        <f t="shared" si="36"/>
        <v>354</v>
      </c>
      <c r="AG665" s="14">
        <f t="shared" si="36"/>
        <v>178</v>
      </c>
      <c r="AH665" s="14">
        <f t="shared" si="36"/>
        <v>35</v>
      </c>
      <c r="AI665" s="14">
        <f t="shared" si="36"/>
        <v>30</v>
      </c>
    </row>
    <row r="666" spans="2:35" ht="12.75" customHeight="1" thickBot="1" x14ac:dyDescent="0.25"/>
    <row r="667" spans="2:35" ht="12.75" customHeight="1" thickBot="1" x14ac:dyDescent="0.25">
      <c r="B667" s="20" t="s">
        <v>9</v>
      </c>
      <c r="D667" s="295" t="str">
        <f>"SUBSUMMARY SHEET " &amp; B668</f>
        <v xml:space="preserve">SUBSUMMARY SHEET </v>
      </c>
      <c r="E667" s="295"/>
      <c r="F667" s="295"/>
      <c r="G667" s="295"/>
      <c r="H667" s="295"/>
      <c r="I667" s="295"/>
      <c r="J667" s="295"/>
      <c r="K667" s="295"/>
      <c r="L667" s="295"/>
      <c r="M667" s="295"/>
      <c r="N667" s="295"/>
      <c r="O667" s="295"/>
      <c r="P667" s="295"/>
      <c r="Q667" s="295"/>
      <c r="R667" s="295"/>
      <c r="S667" s="295"/>
      <c r="T667" s="295"/>
      <c r="U667" s="295"/>
      <c r="V667" s="295"/>
      <c r="W667" s="295"/>
      <c r="X667" s="295"/>
      <c r="Y667" s="295"/>
      <c r="Z667" s="295"/>
      <c r="AA667" s="295"/>
      <c r="AB667" s="295"/>
      <c r="AC667" s="295"/>
      <c r="AD667" s="295"/>
      <c r="AE667" s="295"/>
      <c r="AF667" s="295"/>
      <c r="AG667" s="295"/>
      <c r="AH667" s="295"/>
      <c r="AI667" s="295"/>
    </row>
    <row r="668" spans="2:35" ht="12.75" customHeight="1" thickBot="1" x14ac:dyDescent="0.25">
      <c r="B668" s="24"/>
      <c r="D668" s="309" t="s">
        <v>7</v>
      </c>
      <c r="E668" s="309"/>
      <c r="F668" s="309"/>
      <c r="G668" s="309"/>
      <c r="H668" s="309"/>
      <c r="I668" s="309"/>
      <c r="J668" s="309"/>
      <c r="K668" s="19"/>
      <c r="L668" s="19"/>
      <c r="M668" s="19"/>
      <c r="N668" s="19" t="s">
        <v>36</v>
      </c>
      <c r="O668" s="19" t="s">
        <v>36</v>
      </c>
      <c r="P668" s="19" t="s">
        <v>39</v>
      </c>
      <c r="Q668" s="19" t="s">
        <v>40</v>
      </c>
      <c r="R668" s="19" t="s">
        <v>42</v>
      </c>
      <c r="S668" s="19" t="s">
        <v>44</v>
      </c>
      <c r="T668" s="19" t="s">
        <v>47</v>
      </c>
      <c r="U668" s="19" t="s">
        <v>49</v>
      </c>
      <c r="V668" s="19" t="s">
        <v>52</v>
      </c>
      <c r="W668" s="19" t="s">
        <v>53</v>
      </c>
      <c r="X668" s="19" t="s">
        <v>55</v>
      </c>
      <c r="Y668" s="19" t="s">
        <v>57</v>
      </c>
      <c r="Z668" s="19" t="s">
        <v>63</v>
      </c>
      <c r="AA668" s="19" t="s">
        <v>65</v>
      </c>
      <c r="AB668" s="19" t="s">
        <v>70</v>
      </c>
      <c r="AC668" s="19" t="s">
        <v>71</v>
      </c>
      <c r="AD668" s="19" t="s">
        <v>72</v>
      </c>
      <c r="AE668" s="19" t="s">
        <v>73</v>
      </c>
      <c r="AF668" s="19" t="s">
        <v>28</v>
      </c>
      <c r="AG668" s="19" t="s">
        <v>29</v>
      </c>
      <c r="AH668" s="19" t="s">
        <v>30</v>
      </c>
      <c r="AI668" s="19" t="s">
        <v>31</v>
      </c>
    </row>
    <row r="669" spans="2:35" ht="12.75" customHeight="1" thickBot="1" x14ac:dyDescent="0.25">
      <c r="D669" s="310" t="s">
        <v>8</v>
      </c>
      <c r="E669" s="310"/>
      <c r="F669" s="310"/>
      <c r="G669" s="310"/>
      <c r="H669" s="310"/>
      <c r="I669" s="310"/>
      <c r="J669" s="310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</row>
    <row r="670" spans="2:35" ht="12.75" customHeight="1" x14ac:dyDescent="0.2">
      <c r="B670" s="250" t="s">
        <v>10</v>
      </c>
      <c r="D670" s="360" t="s">
        <v>20</v>
      </c>
      <c r="E670" s="360" t="s">
        <v>21</v>
      </c>
      <c r="F670" s="363" t="s">
        <v>0</v>
      </c>
      <c r="G670" s="364"/>
      <c r="H670" s="364"/>
      <c r="I670" s="364"/>
      <c r="J670" s="365"/>
      <c r="K670" s="372" t="s">
        <v>23</v>
      </c>
      <c r="L670" s="7" t="str">
        <f>IF(OR(TRIM(L668)=0,TRIM(L668)=""),"",IF(IFERROR(TRIM(INDEX(QryItemNamed,MATCH(TRIM(L668),ITEM,0),2)),"")="Y","SPECIAL",LEFT(IFERROR(TRIM(INDEX(ITEM,MATCH(TRIM(L668),ITEM,0))),""),3)))</f>
        <v/>
      </c>
      <c r="M670" s="7" t="str">
        <f>IF(OR(TRIM(M668)=0,TRIM(M668)=""),"",IF(IFERROR(TRIM(INDEX(QryItemNamed,MATCH(TRIM(M668),ITEM,0),2)),"")="Y","SPECIAL",LEFT(IFERROR(TRIM(INDEX(ITEM,MATCH(TRIM(M668),ITEM,0))),""),3)))</f>
        <v/>
      </c>
      <c r="N670" s="7">
        <v>644</v>
      </c>
      <c r="O670" s="7">
        <v>644</v>
      </c>
      <c r="P670" s="7">
        <v>644</v>
      </c>
      <c r="Q670" s="7">
        <v>644</v>
      </c>
      <c r="R670" s="7">
        <v>644</v>
      </c>
      <c r="S670" s="7">
        <v>644</v>
      </c>
      <c r="T670" s="7">
        <v>644</v>
      </c>
      <c r="U670" s="7">
        <v>644</v>
      </c>
      <c r="V670" s="7">
        <v>644</v>
      </c>
      <c r="W670" s="7">
        <v>644</v>
      </c>
      <c r="X670" s="7">
        <v>644</v>
      </c>
      <c r="Y670" s="7">
        <v>644</v>
      </c>
      <c r="Z670" s="7">
        <v>644</v>
      </c>
      <c r="AA670" s="7">
        <v>644</v>
      </c>
      <c r="AB670" s="7">
        <v>618</v>
      </c>
      <c r="AC670" s="7" t="str">
        <f t="shared" ref="AC670:AI670" si="37">IF(OR(TRIM(AC668)=0,TRIM(AC668)=""),"",IF(IFERROR(TRIM(INDEX(QryItemNamed,MATCH(TRIM(AC668),ITEM,0),2)),"")="Y","SPECIAL",LEFT(IFERROR(TRIM(INDEX(ITEM,MATCH(TRIM(AC668),ITEM,0))),""),3)))</f>
        <v>618</v>
      </c>
      <c r="AD670" s="7" t="str">
        <f t="shared" si="37"/>
        <v>618</v>
      </c>
      <c r="AE670" s="7" t="str">
        <f t="shared" si="37"/>
        <v>618</v>
      </c>
      <c r="AF670" s="7" t="str">
        <f t="shared" si="37"/>
        <v>630</v>
      </c>
      <c r="AG670" s="7" t="str">
        <f t="shared" si="37"/>
        <v>630</v>
      </c>
      <c r="AH670" s="7" t="str">
        <f t="shared" si="37"/>
        <v>630</v>
      </c>
      <c r="AI670" s="7" t="str">
        <f t="shared" si="37"/>
        <v>630</v>
      </c>
    </row>
    <row r="671" spans="2:35" ht="12.75" customHeight="1" x14ac:dyDescent="0.2">
      <c r="B671" s="251"/>
      <c r="D671" s="361"/>
      <c r="E671" s="361"/>
      <c r="F671" s="366"/>
      <c r="G671" s="367"/>
      <c r="H671" s="367"/>
      <c r="I671" s="367"/>
      <c r="J671" s="368"/>
      <c r="K671" s="373"/>
      <c r="L671" s="375" t="str">
        <f>IF(OR(TRIM(L668)=0,TRIM(L668)=""),IF(L669="","",L669),IF(IFERROR(TRIM(INDEX(QryItemNamed,MATCH(TRIM(L668),ITEM,0),2)),"")="Y",TRIM(RIGHT(IFERROR(TRIM(INDEX(QryItemNamed,MATCH(TRIM(L668),ITEM,0),4)),"123456789012"),LEN(IFERROR(TRIM(INDEX(QryItemNamed,MATCH(TRIM(L668),ITEM,0),4)),"123456789012"))-9))&amp;L669,IFERROR(TRIM(INDEX(QryItemNamed,MATCH(TRIM(L668),ITEM,0),4))&amp;L669,"ITEM CODE DOES NOT EXIST IN ITEM MASTER")))</f>
        <v/>
      </c>
      <c r="M671" s="378" t="str">
        <f>IF(OR(TRIM(M668)=0,TRIM(M668)=""),IF(M669="","",M669),IF(IFERROR(TRIM(INDEX(QryItemNamed,MATCH(TRIM(M668),ITEM,0),2)),"")="Y",TRIM(RIGHT(IFERROR(TRIM(INDEX(QryItemNamed,MATCH(TRIM(M668),ITEM,0),4)),"123456789012"),LEN(IFERROR(TRIM(INDEX(QryItemNamed,MATCH(TRIM(M668),ITEM,0),4)),"123456789012"))-9))&amp;M669,IFERROR(TRIM(INDEX(QryItemNamed,MATCH(TRIM(M668),ITEM,0),4))&amp;M669,"ITEM CODE DOES NOT EXIST IN ITEM MASTER")))</f>
        <v/>
      </c>
      <c r="N671" s="381" t="s">
        <v>37</v>
      </c>
      <c r="O671" s="381" t="s">
        <v>38</v>
      </c>
      <c r="P671" s="381" t="s">
        <v>32</v>
      </c>
      <c r="Q671" s="381" t="s">
        <v>41</v>
      </c>
      <c r="R671" s="381" t="s">
        <v>43</v>
      </c>
      <c r="S671" s="381" t="s">
        <v>45</v>
      </c>
      <c r="T671" s="381" t="s">
        <v>48</v>
      </c>
      <c r="U671" s="381" t="s">
        <v>50</v>
      </c>
      <c r="V671" s="381" t="s">
        <v>59</v>
      </c>
      <c r="W671" s="381" t="s">
        <v>54</v>
      </c>
      <c r="X671" s="381" t="s">
        <v>56</v>
      </c>
      <c r="Y671" s="381" t="s">
        <v>58</v>
      </c>
      <c r="Z671" s="382" t="s">
        <v>64</v>
      </c>
      <c r="AA671" s="383" t="s">
        <v>66</v>
      </c>
      <c r="AB671" s="382" t="s">
        <v>74</v>
      </c>
      <c r="AC671" s="382" t="str">
        <f t="shared" ref="AC671:AI671" si="38">IF(OR(TRIM(AC668)=0,TRIM(AC668)=""),IF(AC669="","",AC669),IF(IFERROR(TRIM(INDEX(QryItemNamed,MATCH(TRIM(AC668),ITEM,0),2)),"")="Y",TRIM(RIGHT(IFERROR(TRIM(INDEX(QryItemNamed,MATCH(TRIM(AC668),ITEM,0),4)),"123456789012"),LEN(IFERROR(TRIM(INDEX(QryItemNamed,MATCH(TRIM(AC668),ITEM,0),4)),"123456789012"))-9))&amp;AC669,IFERROR(TRIM(INDEX(QryItemNamed,MATCH(TRIM(AC668),ITEM,0),4))&amp;AC669,"ITEM CODE DOES NOT EXIST IN ITEM MASTER")))</f>
        <v>RUMBLE STRIPES, EDGE LINE (CONCRETE)</v>
      </c>
      <c r="AD671" s="382" t="str">
        <f t="shared" si="38"/>
        <v>RUMBLE STRIPES, CENTER LINE (ASPHALT CONCRETE)</v>
      </c>
      <c r="AE671" s="382" t="str">
        <f t="shared" si="38"/>
        <v>RUMBLE STRIPES, CENTER LINE (CONCRETE)</v>
      </c>
      <c r="AF671" s="382" t="str">
        <f t="shared" si="38"/>
        <v>GROUND MOUNTED SUPPORT, NO. 3 POST</v>
      </c>
      <c r="AG671" s="382" t="str">
        <f t="shared" si="38"/>
        <v>SIGN, FLAT SHEET</v>
      </c>
      <c r="AH671" s="382" t="str">
        <f t="shared" si="38"/>
        <v>REMOVAL OF GROUND MOUNTED SIGN AND DISPOSAL</v>
      </c>
      <c r="AI671" s="382" t="str">
        <f t="shared" si="38"/>
        <v>REMOVAL OF GROUND MOUNTED POST SUPPORT AND DISPOSAL</v>
      </c>
    </row>
    <row r="672" spans="2:35" ht="12.75" customHeight="1" x14ac:dyDescent="0.2">
      <c r="B672" s="251"/>
      <c r="D672" s="361"/>
      <c r="E672" s="361"/>
      <c r="F672" s="366"/>
      <c r="G672" s="367"/>
      <c r="H672" s="367"/>
      <c r="I672" s="367"/>
      <c r="J672" s="368"/>
      <c r="K672" s="373"/>
      <c r="L672" s="376"/>
      <c r="M672" s="379"/>
      <c r="N672" s="381"/>
      <c r="O672" s="381"/>
      <c r="P672" s="381"/>
      <c r="Q672" s="381"/>
      <c r="R672" s="381"/>
      <c r="S672" s="381"/>
      <c r="T672" s="381"/>
      <c r="U672" s="381"/>
      <c r="V672" s="381"/>
      <c r="W672" s="381"/>
      <c r="X672" s="381"/>
      <c r="Y672" s="381"/>
      <c r="Z672" s="382"/>
      <c r="AA672" s="384"/>
      <c r="AB672" s="382"/>
      <c r="AC672" s="382"/>
      <c r="AD672" s="382"/>
      <c r="AE672" s="382"/>
      <c r="AF672" s="382"/>
      <c r="AG672" s="382"/>
      <c r="AH672" s="382"/>
      <c r="AI672" s="382"/>
    </row>
    <row r="673" spans="2:35" ht="12.75" customHeight="1" x14ac:dyDescent="0.2">
      <c r="B673" s="251"/>
      <c r="D673" s="361"/>
      <c r="E673" s="361"/>
      <c r="F673" s="366"/>
      <c r="G673" s="367"/>
      <c r="H673" s="367"/>
      <c r="I673" s="367"/>
      <c r="J673" s="368"/>
      <c r="K673" s="373"/>
      <c r="L673" s="376"/>
      <c r="M673" s="379"/>
      <c r="N673" s="381"/>
      <c r="O673" s="381"/>
      <c r="P673" s="381"/>
      <c r="Q673" s="381"/>
      <c r="R673" s="381"/>
      <c r="S673" s="381"/>
      <c r="T673" s="381"/>
      <c r="U673" s="381"/>
      <c r="V673" s="381"/>
      <c r="W673" s="381"/>
      <c r="X673" s="381"/>
      <c r="Y673" s="381"/>
      <c r="Z673" s="382"/>
      <c r="AA673" s="384"/>
      <c r="AB673" s="382"/>
      <c r="AC673" s="382"/>
      <c r="AD673" s="382"/>
      <c r="AE673" s="382"/>
      <c r="AF673" s="382"/>
      <c r="AG673" s="382"/>
      <c r="AH673" s="382"/>
      <c r="AI673" s="382"/>
    </row>
    <row r="674" spans="2:35" ht="12.75" customHeight="1" x14ac:dyDescent="0.2">
      <c r="B674" s="251"/>
      <c r="D674" s="361"/>
      <c r="E674" s="361"/>
      <c r="F674" s="366"/>
      <c r="G674" s="367"/>
      <c r="H674" s="367"/>
      <c r="I674" s="367"/>
      <c r="J674" s="368"/>
      <c r="K674" s="373"/>
      <c r="L674" s="376"/>
      <c r="M674" s="379"/>
      <c r="N674" s="381"/>
      <c r="O674" s="381"/>
      <c r="P674" s="381"/>
      <c r="Q674" s="381"/>
      <c r="R674" s="381"/>
      <c r="S674" s="381"/>
      <c r="T674" s="381"/>
      <c r="U674" s="381"/>
      <c r="V674" s="381"/>
      <c r="W674" s="381"/>
      <c r="X674" s="381"/>
      <c r="Y674" s="381"/>
      <c r="Z674" s="382"/>
      <c r="AA674" s="384"/>
      <c r="AB674" s="382"/>
      <c r="AC674" s="382"/>
      <c r="AD674" s="382"/>
      <c r="AE674" s="382"/>
      <c r="AF674" s="382"/>
      <c r="AG674" s="382"/>
      <c r="AH674" s="382"/>
      <c r="AI674" s="382"/>
    </row>
    <row r="675" spans="2:35" ht="12.75" customHeight="1" x14ac:dyDescent="0.2">
      <c r="B675" s="251"/>
      <c r="D675" s="361"/>
      <c r="E675" s="361"/>
      <c r="F675" s="366"/>
      <c r="G675" s="367"/>
      <c r="H675" s="367"/>
      <c r="I675" s="367"/>
      <c r="J675" s="368"/>
      <c r="K675" s="373"/>
      <c r="L675" s="376"/>
      <c r="M675" s="379"/>
      <c r="N675" s="381"/>
      <c r="O675" s="381"/>
      <c r="P675" s="381"/>
      <c r="Q675" s="381"/>
      <c r="R675" s="381"/>
      <c r="S675" s="381"/>
      <c r="T675" s="381"/>
      <c r="U675" s="381"/>
      <c r="V675" s="381"/>
      <c r="W675" s="381"/>
      <c r="X675" s="381"/>
      <c r="Y675" s="381"/>
      <c r="Z675" s="382"/>
      <c r="AA675" s="384"/>
      <c r="AB675" s="382"/>
      <c r="AC675" s="382"/>
      <c r="AD675" s="382"/>
      <c r="AE675" s="382"/>
      <c r="AF675" s="382"/>
      <c r="AG675" s="382"/>
      <c r="AH675" s="382"/>
      <c r="AI675" s="382"/>
    </row>
    <row r="676" spans="2:35" ht="12.75" customHeight="1" x14ac:dyDescent="0.2">
      <c r="B676" s="251"/>
      <c r="D676" s="361"/>
      <c r="E676" s="361"/>
      <c r="F676" s="366"/>
      <c r="G676" s="367"/>
      <c r="H676" s="367"/>
      <c r="I676" s="367"/>
      <c r="J676" s="368"/>
      <c r="K676" s="373"/>
      <c r="L676" s="376"/>
      <c r="M676" s="379"/>
      <c r="N676" s="381"/>
      <c r="O676" s="381"/>
      <c r="P676" s="381"/>
      <c r="Q676" s="381"/>
      <c r="R676" s="381"/>
      <c r="S676" s="381"/>
      <c r="T676" s="381"/>
      <c r="U676" s="381"/>
      <c r="V676" s="381"/>
      <c r="W676" s="381"/>
      <c r="X676" s="381"/>
      <c r="Y676" s="381"/>
      <c r="Z676" s="382"/>
      <c r="AA676" s="384"/>
      <c r="AB676" s="382"/>
      <c r="AC676" s="382"/>
      <c r="AD676" s="382"/>
      <c r="AE676" s="382"/>
      <c r="AF676" s="382"/>
      <c r="AG676" s="382"/>
      <c r="AH676" s="382"/>
      <c r="AI676" s="382"/>
    </row>
    <row r="677" spans="2:35" ht="12.75" customHeight="1" x14ac:dyDescent="0.2">
      <c r="B677" s="251"/>
      <c r="D677" s="361"/>
      <c r="E677" s="361"/>
      <c r="F677" s="366"/>
      <c r="G677" s="367"/>
      <c r="H677" s="367"/>
      <c r="I677" s="367"/>
      <c r="J677" s="368"/>
      <c r="K677" s="373"/>
      <c r="L677" s="376"/>
      <c r="M677" s="379"/>
      <c r="N677" s="381"/>
      <c r="O677" s="381"/>
      <c r="P677" s="381"/>
      <c r="Q677" s="381"/>
      <c r="R677" s="381"/>
      <c r="S677" s="381"/>
      <c r="T677" s="381"/>
      <c r="U677" s="381"/>
      <c r="V677" s="381"/>
      <c r="W677" s="381"/>
      <c r="X677" s="381"/>
      <c r="Y677" s="381"/>
      <c r="Z677" s="382"/>
      <c r="AA677" s="384"/>
      <c r="AB677" s="382"/>
      <c r="AC677" s="382"/>
      <c r="AD677" s="382"/>
      <c r="AE677" s="382"/>
      <c r="AF677" s="382"/>
      <c r="AG677" s="382"/>
      <c r="AH677" s="382"/>
      <c r="AI677" s="382"/>
    </row>
    <row r="678" spans="2:35" ht="12.75" customHeight="1" x14ac:dyDescent="0.2">
      <c r="B678" s="251"/>
      <c r="D678" s="361"/>
      <c r="E678" s="361"/>
      <c r="F678" s="366"/>
      <c r="G678" s="367"/>
      <c r="H678" s="367"/>
      <c r="I678" s="367"/>
      <c r="J678" s="368"/>
      <c r="K678" s="373"/>
      <c r="L678" s="376"/>
      <c r="M678" s="379"/>
      <c r="N678" s="381"/>
      <c r="O678" s="381"/>
      <c r="P678" s="381"/>
      <c r="Q678" s="381"/>
      <c r="R678" s="381"/>
      <c r="S678" s="381"/>
      <c r="T678" s="381"/>
      <c r="U678" s="381"/>
      <c r="V678" s="381"/>
      <c r="W678" s="381"/>
      <c r="X678" s="381"/>
      <c r="Y678" s="381"/>
      <c r="Z678" s="382"/>
      <c r="AA678" s="384"/>
      <c r="AB678" s="382"/>
      <c r="AC678" s="382"/>
      <c r="AD678" s="382"/>
      <c r="AE678" s="382"/>
      <c r="AF678" s="382"/>
      <c r="AG678" s="382"/>
      <c r="AH678" s="382"/>
      <c r="AI678" s="382"/>
    </row>
    <row r="679" spans="2:35" ht="12.75" customHeight="1" x14ac:dyDescent="0.2">
      <c r="B679" s="251"/>
      <c r="D679" s="361"/>
      <c r="E679" s="361"/>
      <c r="F679" s="366"/>
      <c r="G679" s="367"/>
      <c r="H679" s="367"/>
      <c r="I679" s="367"/>
      <c r="J679" s="368"/>
      <c r="K679" s="373"/>
      <c r="L679" s="376"/>
      <c r="M679" s="379"/>
      <c r="N679" s="381"/>
      <c r="O679" s="381"/>
      <c r="P679" s="381"/>
      <c r="Q679" s="381"/>
      <c r="R679" s="381"/>
      <c r="S679" s="381"/>
      <c r="T679" s="381"/>
      <c r="U679" s="381"/>
      <c r="V679" s="381"/>
      <c r="W679" s="381"/>
      <c r="X679" s="381"/>
      <c r="Y679" s="381"/>
      <c r="Z679" s="382"/>
      <c r="AA679" s="384"/>
      <c r="AB679" s="382"/>
      <c r="AC679" s="382"/>
      <c r="AD679" s="382"/>
      <c r="AE679" s="382"/>
      <c r="AF679" s="382"/>
      <c r="AG679" s="382"/>
      <c r="AH679" s="382"/>
      <c r="AI679" s="382"/>
    </row>
    <row r="680" spans="2:35" ht="12.75" customHeight="1" x14ac:dyDescent="0.2">
      <c r="B680" s="251"/>
      <c r="D680" s="361"/>
      <c r="E680" s="361"/>
      <c r="F680" s="366"/>
      <c r="G680" s="367"/>
      <c r="H680" s="367"/>
      <c r="I680" s="367"/>
      <c r="J680" s="368"/>
      <c r="K680" s="373"/>
      <c r="L680" s="376"/>
      <c r="M680" s="379"/>
      <c r="N680" s="381"/>
      <c r="O680" s="381"/>
      <c r="P680" s="381"/>
      <c r="Q680" s="381"/>
      <c r="R680" s="381"/>
      <c r="S680" s="381"/>
      <c r="T680" s="381"/>
      <c r="U680" s="381"/>
      <c r="V680" s="381"/>
      <c r="W680" s="381"/>
      <c r="X680" s="381"/>
      <c r="Y680" s="381"/>
      <c r="Z680" s="382"/>
      <c r="AA680" s="384"/>
      <c r="AB680" s="382"/>
      <c r="AC680" s="382"/>
      <c r="AD680" s="382"/>
      <c r="AE680" s="382"/>
      <c r="AF680" s="382"/>
      <c r="AG680" s="382"/>
      <c r="AH680" s="382"/>
      <c r="AI680" s="382"/>
    </row>
    <row r="681" spans="2:35" ht="12.75" customHeight="1" x14ac:dyDescent="0.2">
      <c r="B681" s="251"/>
      <c r="D681" s="361"/>
      <c r="E681" s="361"/>
      <c r="F681" s="366"/>
      <c r="G681" s="367"/>
      <c r="H681" s="367"/>
      <c r="I681" s="367"/>
      <c r="J681" s="368"/>
      <c r="K681" s="373"/>
      <c r="L681" s="376"/>
      <c r="M681" s="379"/>
      <c r="N681" s="381"/>
      <c r="O681" s="381"/>
      <c r="P681" s="381"/>
      <c r="Q681" s="381"/>
      <c r="R681" s="381"/>
      <c r="S681" s="381"/>
      <c r="T681" s="381"/>
      <c r="U681" s="381"/>
      <c r="V681" s="381"/>
      <c r="W681" s="381"/>
      <c r="X681" s="381"/>
      <c r="Y681" s="381"/>
      <c r="Z681" s="382"/>
      <c r="AA681" s="384"/>
      <c r="AB681" s="382"/>
      <c r="AC681" s="382"/>
      <c r="AD681" s="382"/>
      <c r="AE681" s="382"/>
      <c r="AF681" s="382"/>
      <c r="AG681" s="382"/>
      <c r="AH681" s="382"/>
      <c r="AI681" s="382"/>
    </row>
    <row r="682" spans="2:35" ht="12.75" customHeight="1" x14ac:dyDescent="0.2">
      <c r="B682" s="251"/>
      <c r="D682" s="361"/>
      <c r="E682" s="361"/>
      <c r="F682" s="366"/>
      <c r="G682" s="367"/>
      <c r="H682" s="367"/>
      <c r="I682" s="367"/>
      <c r="J682" s="368"/>
      <c r="K682" s="373"/>
      <c r="L682" s="377"/>
      <c r="M682" s="380"/>
      <c r="N682" s="381"/>
      <c r="O682" s="381"/>
      <c r="P682" s="381"/>
      <c r="Q682" s="381"/>
      <c r="R682" s="381"/>
      <c r="S682" s="381"/>
      <c r="T682" s="381"/>
      <c r="U682" s="381"/>
      <c r="V682" s="381"/>
      <c r="W682" s="381"/>
      <c r="X682" s="381"/>
      <c r="Y682" s="381"/>
      <c r="Z682" s="382"/>
      <c r="AA682" s="385"/>
      <c r="AB682" s="382"/>
      <c r="AC682" s="382"/>
      <c r="AD682" s="382"/>
      <c r="AE682" s="382"/>
      <c r="AF682" s="382"/>
      <c r="AG682" s="382"/>
      <c r="AH682" s="382"/>
      <c r="AI682" s="382"/>
    </row>
    <row r="683" spans="2:35" ht="12.75" customHeight="1" thickBot="1" x14ac:dyDescent="0.25">
      <c r="B683" s="252"/>
      <c r="D683" s="362"/>
      <c r="E683" s="362"/>
      <c r="F683" s="369"/>
      <c r="G683" s="370"/>
      <c r="H683" s="370"/>
      <c r="I683" s="370"/>
      <c r="J683" s="371"/>
      <c r="K683" s="374"/>
      <c r="L683" s="8" t="str">
        <f t="shared" ref="L683:Q683" si="39">IF(OR(TRIM(L668)=0,TRIM(L668)=""),"",IFERROR(TRIM(INDEX(QryItemNamed,MATCH(TRIM(L668),ITEM,0),3)),""))</f>
        <v/>
      </c>
      <c r="M683" s="8" t="str">
        <f t="shared" si="39"/>
        <v/>
      </c>
      <c r="N683" s="8" t="str">
        <f t="shared" si="39"/>
        <v>MILE</v>
      </c>
      <c r="O683" s="8" t="str">
        <f t="shared" si="39"/>
        <v>MILE</v>
      </c>
      <c r="P683" s="8" t="str">
        <f t="shared" si="39"/>
        <v>MILE</v>
      </c>
      <c r="Q683" s="8" t="str">
        <f t="shared" si="39"/>
        <v>FT</v>
      </c>
      <c r="R683" s="8" t="s">
        <v>46</v>
      </c>
      <c r="S683" s="8" t="s">
        <v>46</v>
      </c>
      <c r="T683" s="8" t="s">
        <v>46</v>
      </c>
      <c r="U683" s="8" t="s">
        <v>51</v>
      </c>
      <c r="V683" s="8" t="s">
        <v>51</v>
      </c>
      <c r="W683" s="8" t="s">
        <v>51</v>
      </c>
      <c r="X683" s="8" t="str">
        <f>IF(OR(TRIM(X668)=0,TRIM(X668)=""),"",IFERROR(TRIM(INDEX(QryItemNamed,MATCH(TRIM(X668),ITEM,0),3)),""))</f>
        <v>FT</v>
      </c>
      <c r="Y683" s="8" t="s">
        <v>46</v>
      </c>
      <c r="Z683" s="8" t="str">
        <f t="shared" ref="Z683:AI683" si="40">IF(OR(TRIM(Z668)=0,TRIM(Z668)=""),"",IFERROR(TRIM(INDEX(QryItemNamed,MATCH(TRIM(Z668),ITEM,0),3)),""))</f>
        <v>FT</v>
      </c>
      <c r="AA683" s="8" t="str">
        <f t="shared" si="40"/>
        <v>EACH</v>
      </c>
      <c r="AB683" s="8" t="str">
        <f t="shared" si="40"/>
        <v>MILE</v>
      </c>
      <c r="AC683" s="8" t="str">
        <f t="shared" si="40"/>
        <v>MILE</v>
      </c>
      <c r="AD683" s="8" t="str">
        <f t="shared" si="40"/>
        <v>MILE</v>
      </c>
      <c r="AE683" s="8" t="str">
        <f t="shared" si="40"/>
        <v>MILE</v>
      </c>
      <c r="AF683" s="8" t="str">
        <f t="shared" si="40"/>
        <v>FT</v>
      </c>
      <c r="AG683" s="8" t="str">
        <f t="shared" si="40"/>
        <v>SF</v>
      </c>
      <c r="AH683" s="8" t="str">
        <f t="shared" si="40"/>
        <v>EACH</v>
      </c>
      <c r="AI683" s="8" t="str">
        <f t="shared" si="40"/>
        <v>EACH</v>
      </c>
    </row>
    <row r="684" spans="2:35" ht="12.75" customHeight="1" x14ac:dyDescent="0.2">
      <c r="B684" s="21"/>
      <c r="D684" s="37"/>
      <c r="E684" s="37">
        <v>29</v>
      </c>
      <c r="F684" s="386">
        <v>173062</v>
      </c>
      <c r="G684" s="387"/>
      <c r="H684" s="11"/>
      <c r="I684" s="344" t="s">
        <v>107</v>
      </c>
      <c r="J684" s="345"/>
      <c r="K684" s="38" t="s">
        <v>24</v>
      </c>
      <c r="L684" s="37"/>
      <c r="M684" s="37"/>
      <c r="N684" s="37"/>
      <c r="O684" s="37"/>
      <c r="P684" s="43"/>
      <c r="Q684" s="3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>
        <f>2*1.5</f>
        <v>3</v>
      </c>
      <c r="AH684" s="9"/>
      <c r="AI684" s="9"/>
    </row>
    <row r="685" spans="2:35" ht="12.75" customHeight="1" x14ac:dyDescent="0.2">
      <c r="B685" s="22"/>
      <c r="D685" s="11" t="s">
        <v>502</v>
      </c>
      <c r="E685" s="11">
        <v>29</v>
      </c>
      <c r="F685" s="343">
        <v>173182</v>
      </c>
      <c r="G685" s="343"/>
      <c r="H685" s="11"/>
      <c r="I685" s="344" t="s">
        <v>108</v>
      </c>
      <c r="J685" s="345"/>
      <c r="K685" s="13" t="s">
        <v>24</v>
      </c>
      <c r="L685" s="11"/>
      <c r="M685" s="11"/>
      <c r="N685" s="11"/>
      <c r="O685" s="11"/>
      <c r="P685" s="35"/>
      <c r="Q685" s="32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>
        <f>3.5+7+2</f>
        <v>12.5</v>
      </c>
      <c r="AG685" s="11">
        <f>1.5*2</f>
        <v>3</v>
      </c>
      <c r="AH685" s="11"/>
      <c r="AI685" s="11"/>
    </row>
    <row r="686" spans="2:35" ht="12.75" customHeight="1" x14ac:dyDescent="0.2">
      <c r="B686" s="22"/>
      <c r="D686" s="11"/>
      <c r="E686" s="11">
        <v>29</v>
      </c>
      <c r="F686" s="343">
        <v>173182</v>
      </c>
      <c r="G686" s="343"/>
      <c r="H686" s="11"/>
      <c r="I686" s="344" t="s">
        <v>107</v>
      </c>
      <c r="J686" s="345"/>
      <c r="K686" s="13" t="s">
        <v>24</v>
      </c>
      <c r="L686" s="11"/>
      <c r="M686" s="11"/>
      <c r="N686" s="11"/>
      <c r="O686" s="11"/>
      <c r="P686" s="11"/>
      <c r="Q686" s="32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>
        <f>1.5*2</f>
        <v>3</v>
      </c>
      <c r="AH686" s="11"/>
      <c r="AI686" s="11"/>
    </row>
    <row r="687" spans="2:35" ht="12.75" customHeight="1" x14ac:dyDescent="0.2">
      <c r="B687" s="22"/>
      <c r="D687" s="11" t="s">
        <v>503</v>
      </c>
      <c r="E687" s="40">
        <v>29</v>
      </c>
      <c r="F687" s="346">
        <v>173240</v>
      </c>
      <c r="G687" s="347"/>
      <c r="H687" s="40"/>
      <c r="I687" s="357" t="s">
        <v>117</v>
      </c>
      <c r="J687" s="359"/>
      <c r="K687" s="41" t="s">
        <v>24</v>
      </c>
      <c r="L687" s="40"/>
      <c r="M687" s="40"/>
      <c r="N687" s="40"/>
      <c r="O687" s="40"/>
      <c r="P687" s="40"/>
      <c r="Q687" s="42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>
        <f>3.5+7+4.5</f>
        <v>15</v>
      </c>
      <c r="AG687" s="11">
        <f>3*3</f>
        <v>9</v>
      </c>
      <c r="AH687" s="11"/>
      <c r="AI687" s="11"/>
    </row>
    <row r="688" spans="2:35" ht="12.75" customHeight="1" x14ac:dyDescent="0.2">
      <c r="B688" s="22"/>
      <c r="D688" s="11" t="s">
        <v>504</v>
      </c>
      <c r="E688" s="11">
        <v>29</v>
      </c>
      <c r="F688" s="337">
        <v>173300</v>
      </c>
      <c r="G688" s="339"/>
      <c r="H688" s="11"/>
      <c r="I688" s="344" t="s">
        <v>136</v>
      </c>
      <c r="J688" s="345"/>
      <c r="K688" s="13" t="s">
        <v>25</v>
      </c>
      <c r="L688" s="11"/>
      <c r="M688" s="11"/>
      <c r="N688" s="11"/>
      <c r="O688" s="11"/>
      <c r="P688" s="11"/>
      <c r="Q688" s="32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>
        <f>3.5+7+1.5+4.5</f>
        <v>16.5</v>
      </c>
      <c r="AG688" s="11">
        <f>3*3</f>
        <v>9</v>
      </c>
      <c r="AH688" s="11"/>
      <c r="AI688" s="11"/>
    </row>
    <row r="689" spans="2:35" ht="12.75" customHeight="1" x14ac:dyDescent="0.2">
      <c r="B689" s="22"/>
      <c r="D689" s="11"/>
      <c r="E689" s="11">
        <v>29</v>
      </c>
      <c r="F689" s="337">
        <v>173300</v>
      </c>
      <c r="G689" s="339"/>
      <c r="H689" s="11"/>
      <c r="I689" s="344" t="s">
        <v>116</v>
      </c>
      <c r="J689" s="345"/>
      <c r="K689" s="13" t="s">
        <v>25</v>
      </c>
      <c r="L689" s="11"/>
      <c r="M689" s="11"/>
      <c r="N689" s="11"/>
      <c r="O689" s="11"/>
      <c r="P689" s="11"/>
      <c r="Q689" s="32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>
        <f>1.5*1.5</f>
        <v>2.25</v>
      </c>
      <c r="AH689" s="11"/>
      <c r="AI689" s="11"/>
    </row>
    <row r="690" spans="2:35" ht="12.75" customHeight="1" x14ac:dyDescent="0.2">
      <c r="B690" s="22"/>
      <c r="D690" s="11" t="s">
        <v>525</v>
      </c>
      <c r="E690" s="11">
        <v>30</v>
      </c>
      <c r="F690" s="337">
        <v>173569</v>
      </c>
      <c r="G690" s="339"/>
      <c r="H690" s="11"/>
      <c r="I690" s="344"/>
      <c r="J690" s="345"/>
      <c r="K690" s="13" t="s">
        <v>25</v>
      </c>
      <c r="L690" s="11"/>
      <c r="M690" s="11"/>
      <c r="N690" s="11"/>
      <c r="O690" s="11"/>
      <c r="P690" s="11"/>
      <c r="Q690" s="32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>
        <v>1</v>
      </c>
      <c r="AI690" s="11">
        <v>1</v>
      </c>
    </row>
    <row r="691" spans="2:35" ht="12.75" customHeight="1" x14ac:dyDescent="0.2">
      <c r="B691" s="22"/>
      <c r="D691" s="11" t="s">
        <v>526</v>
      </c>
      <c r="E691" s="11">
        <v>30</v>
      </c>
      <c r="F691" s="337"/>
      <c r="G691" s="339"/>
      <c r="H691" s="11"/>
      <c r="I691" s="344"/>
      <c r="J691" s="345"/>
      <c r="K691" s="13" t="s">
        <v>24</v>
      </c>
      <c r="L691" s="11"/>
      <c r="M691" s="11"/>
      <c r="N691" s="11"/>
      <c r="O691" s="11"/>
      <c r="P691" s="11"/>
      <c r="Q691" s="32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>
        <v>2</v>
      </c>
      <c r="AI691" s="11">
        <v>1</v>
      </c>
    </row>
    <row r="692" spans="2:35" ht="12.75" customHeight="1" x14ac:dyDescent="0.2">
      <c r="B692" s="22"/>
      <c r="D692" s="11" t="s">
        <v>527</v>
      </c>
      <c r="E692" s="11">
        <v>30</v>
      </c>
      <c r="F692" s="337"/>
      <c r="G692" s="339"/>
      <c r="H692" s="11"/>
      <c r="I692" s="344"/>
      <c r="J692" s="345"/>
      <c r="K692" s="13" t="s">
        <v>25</v>
      </c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>
        <v>4</v>
      </c>
      <c r="AI692" s="11">
        <v>1</v>
      </c>
    </row>
    <row r="693" spans="2:35" ht="12.75" customHeight="1" x14ac:dyDescent="0.2">
      <c r="B693" s="22"/>
      <c r="D693" s="11" t="s">
        <v>528</v>
      </c>
      <c r="E693" s="11">
        <v>30</v>
      </c>
      <c r="F693" s="337"/>
      <c r="G693" s="339"/>
      <c r="H693" s="11"/>
      <c r="I693" s="344"/>
      <c r="J693" s="345"/>
      <c r="K693" s="13" t="s">
        <v>25</v>
      </c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>
        <v>1</v>
      </c>
      <c r="AI693" s="11">
        <v>1</v>
      </c>
    </row>
    <row r="694" spans="2:35" ht="12.75" customHeight="1" x14ac:dyDescent="0.2">
      <c r="B694" s="22"/>
      <c r="D694" s="11" t="s">
        <v>529</v>
      </c>
      <c r="E694" s="11">
        <v>30</v>
      </c>
      <c r="F694" s="337"/>
      <c r="G694" s="339"/>
      <c r="H694" s="11"/>
      <c r="I694" s="344"/>
      <c r="J694" s="345"/>
      <c r="K694" s="13" t="s">
        <v>25</v>
      </c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>
        <v>1</v>
      </c>
      <c r="AI694" s="11">
        <v>1</v>
      </c>
    </row>
    <row r="695" spans="2:35" ht="12.75" customHeight="1" x14ac:dyDescent="0.2">
      <c r="B695" s="22"/>
      <c r="D695" s="11" t="s">
        <v>530</v>
      </c>
      <c r="E695" s="11">
        <v>30</v>
      </c>
      <c r="F695" s="337"/>
      <c r="G695" s="339"/>
      <c r="H695" s="11"/>
      <c r="I695" s="344"/>
      <c r="J695" s="345"/>
      <c r="K695" s="13" t="s">
        <v>24</v>
      </c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>
        <v>1</v>
      </c>
      <c r="AI695" s="11">
        <v>1</v>
      </c>
    </row>
    <row r="696" spans="2:35" ht="12.75" customHeight="1" x14ac:dyDescent="0.2">
      <c r="B696" s="22"/>
      <c r="D696" s="11" t="s">
        <v>505</v>
      </c>
      <c r="E696" s="11">
        <v>30</v>
      </c>
      <c r="F696" s="337">
        <v>173354</v>
      </c>
      <c r="G696" s="339"/>
      <c r="H696" s="11"/>
      <c r="I696" s="344" t="s">
        <v>137</v>
      </c>
      <c r="J696" s="345"/>
      <c r="K696" s="13" t="s">
        <v>24</v>
      </c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32"/>
      <c r="Y696" s="11"/>
      <c r="Z696" s="11"/>
      <c r="AA696" s="11"/>
      <c r="AB696" s="11"/>
      <c r="AC696" s="11"/>
      <c r="AD696" s="11"/>
      <c r="AE696" s="11"/>
      <c r="AF696" s="11">
        <f>3.5+7+2.5</f>
        <v>13</v>
      </c>
      <c r="AG696" s="11">
        <f>3*2.5</f>
        <v>7.5</v>
      </c>
      <c r="AH696" s="11"/>
      <c r="AI696" s="11"/>
    </row>
    <row r="697" spans="2:35" ht="12.75" customHeight="1" x14ac:dyDescent="0.2">
      <c r="B697" s="22"/>
      <c r="D697" s="11" t="s">
        <v>506</v>
      </c>
      <c r="E697" s="11">
        <v>30</v>
      </c>
      <c r="F697" s="337">
        <v>173367</v>
      </c>
      <c r="G697" s="339"/>
      <c r="H697" s="11"/>
      <c r="I697" s="344" t="s">
        <v>138</v>
      </c>
      <c r="J697" s="345"/>
      <c r="K697" s="13" t="s">
        <v>24</v>
      </c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>
        <f>3.5+7+2.5+2.5</f>
        <v>15.5</v>
      </c>
      <c r="AG697" s="11">
        <f>1.5*2.5</f>
        <v>3.75</v>
      </c>
      <c r="AH697" s="11"/>
      <c r="AI697" s="11"/>
    </row>
    <row r="698" spans="2:35" ht="12.75" customHeight="1" x14ac:dyDescent="0.2">
      <c r="B698" s="22"/>
      <c r="D698" s="11"/>
      <c r="E698" s="11">
        <v>30</v>
      </c>
      <c r="F698" s="337">
        <v>173367</v>
      </c>
      <c r="G698" s="339"/>
      <c r="H698" s="11"/>
      <c r="I698" s="344" t="s">
        <v>119</v>
      </c>
      <c r="J698" s="345"/>
      <c r="K698" s="13" t="s">
        <v>24</v>
      </c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>
        <f>1.5*1.5</f>
        <v>2.25</v>
      </c>
      <c r="AH698" s="11"/>
      <c r="AI698" s="11"/>
    </row>
    <row r="699" spans="2:35" ht="12.75" customHeight="1" x14ac:dyDescent="0.2">
      <c r="B699" s="22"/>
      <c r="D699" s="11" t="s">
        <v>507</v>
      </c>
      <c r="E699" s="11">
        <v>30</v>
      </c>
      <c r="F699" s="337">
        <v>173608</v>
      </c>
      <c r="G699" s="339"/>
      <c r="H699" s="11"/>
      <c r="I699" s="344" t="s">
        <v>126</v>
      </c>
      <c r="J699" s="345"/>
      <c r="K699" s="13" t="s">
        <v>24</v>
      </c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>
        <f>3.5+7+2</f>
        <v>12.5</v>
      </c>
      <c r="AG699" s="11">
        <f>2*4</f>
        <v>8</v>
      </c>
      <c r="AH699" s="11"/>
      <c r="AI699" s="11"/>
    </row>
    <row r="700" spans="2:35" ht="12.75" customHeight="1" x14ac:dyDescent="0.2">
      <c r="B700" s="22"/>
      <c r="D700" s="11" t="s">
        <v>508</v>
      </c>
      <c r="E700" s="11">
        <v>30</v>
      </c>
      <c r="F700" s="337">
        <v>173616</v>
      </c>
      <c r="G700" s="339"/>
      <c r="H700" s="11"/>
      <c r="I700" s="344" t="s">
        <v>126</v>
      </c>
      <c r="J700" s="345"/>
      <c r="K700" s="13" t="s">
        <v>24</v>
      </c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>
        <f>3.5+7+2</f>
        <v>12.5</v>
      </c>
      <c r="AG700" s="11">
        <f>2*4</f>
        <v>8</v>
      </c>
      <c r="AH700" s="11"/>
      <c r="AI700" s="11"/>
    </row>
    <row r="701" spans="2:35" ht="12.75" customHeight="1" x14ac:dyDescent="0.2">
      <c r="B701" s="22"/>
      <c r="D701" s="11" t="s">
        <v>509</v>
      </c>
      <c r="E701" s="11">
        <v>30</v>
      </c>
      <c r="F701" s="337">
        <v>173645</v>
      </c>
      <c r="G701" s="339"/>
      <c r="H701" s="11"/>
      <c r="I701" s="344" t="s">
        <v>126</v>
      </c>
      <c r="J701" s="345"/>
      <c r="K701" s="13" t="s">
        <v>24</v>
      </c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>
        <f>3.5+7+2</f>
        <v>12.5</v>
      </c>
      <c r="AG701" s="11">
        <f>2*4</f>
        <v>8</v>
      </c>
      <c r="AH701" s="11"/>
      <c r="AI701" s="11"/>
    </row>
    <row r="702" spans="2:35" ht="12.75" customHeight="1" x14ac:dyDescent="0.2">
      <c r="B702" s="22"/>
      <c r="D702" s="11" t="s">
        <v>510</v>
      </c>
      <c r="E702" s="11">
        <v>30</v>
      </c>
      <c r="F702" s="337">
        <v>173656</v>
      </c>
      <c r="G702" s="339"/>
      <c r="H702" s="11"/>
      <c r="I702" s="344" t="s">
        <v>126</v>
      </c>
      <c r="J702" s="345"/>
      <c r="K702" s="13" t="s">
        <v>24</v>
      </c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>
        <f>3.5+7+2</f>
        <v>12.5</v>
      </c>
      <c r="AG702" s="11">
        <f>2*4</f>
        <v>8</v>
      </c>
      <c r="AH702" s="11"/>
      <c r="AI702" s="11"/>
    </row>
    <row r="703" spans="2:35" ht="12.75" customHeight="1" x14ac:dyDescent="0.2">
      <c r="B703" s="22"/>
      <c r="D703" s="11" t="s">
        <v>511</v>
      </c>
      <c r="E703" s="11">
        <v>30</v>
      </c>
      <c r="F703" s="337">
        <v>173565</v>
      </c>
      <c r="G703" s="339"/>
      <c r="H703" s="11"/>
      <c r="I703" s="344" t="s">
        <v>127</v>
      </c>
      <c r="J703" s="345"/>
      <c r="K703" s="13" t="s">
        <v>24</v>
      </c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>
        <f>3.5+7+2.75</f>
        <v>13.25</v>
      </c>
      <c r="AG703" s="11">
        <f>4</f>
        <v>4</v>
      </c>
      <c r="AH703" s="11"/>
      <c r="AI703" s="11"/>
    </row>
    <row r="704" spans="2:35" ht="12.75" customHeight="1" x14ac:dyDescent="0.2">
      <c r="B704" s="22"/>
      <c r="D704" s="11" t="s">
        <v>512</v>
      </c>
      <c r="E704" s="11">
        <v>30</v>
      </c>
      <c r="F704" s="337">
        <v>173578</v>
      </c>
      <c r="G704" s="339"/>
      <c r="H704" s="11"/>
      <c r="I704" s="344" t="s">
        <v>127</v>
      </c>
      <c r="J704" s="345"/>
      <c r="K704" s="13" t="s">
        <v>24</v>
      </c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>
        <f>3.5+7+2.75</f>
        <v>13.25</v>
      </c>
      <c r="AG704" s="11">
        <f>4</f>
        <v>4</v>
      </c>
      <c r="AH704" s="11"/>
      <c r="AI704" s="11"/>
    </row>
    <row r="705" spans="2:35" ht="12.75" customHeight="1" x14ac:dyDescent="0.2">
      <c r="B705" s="22"/>
      <c r="D705" s="11" t="s">
        <v>513</v>
      </c>
      <c r="E705" s="11">
        <v>30</v>
      </c>
      <c r="F705" s="337">
        <v>160123</v>
      </c>
      <c r="G705" s="339"/>
      <c r="H705" s="11"/>
      <c r="I705" s="344" t="s">
        <v>139</v>
      </c>
      <c r="J705" s="345"/>
      <c r="K705" s="13" t="s">
        <v>24</v>
      </c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>
        <f>3.5+7+3</f>
        <v>13.5</v>
      </c>
      <c r="AG705" s="11">
        <f>3.14*1.5*1.5</f>
        <v>7.0649999999999995</v>
      </c>
      <c r="AH705" s="11"/>
      <c r="AI705" s="11"/>
    </row>
    <row r="706" spans="2:35" ht="12.75" customHeight="1" x14ac:dyDescent="0.2">
      <c r="B706" s="22"/>
      <c r="D706" s="11" t="s">
        <v>514</v>
      </c>
      <c r="E706" s="11">
        <v>30</v>
      </c>
      <c r="F706" s="337">
        <v>160189</v>
      </c>
      <c r="G706" s="339"/>
      <c r="H706" s="11"/>
      <c r="I706" s="344" t="s">
        <v>128</v>
      </c>
      <c r="J706" s="345"/>
      <c r="K706" s="13" t="s">
        <v>24</v>
      </c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>
        <f>3.5+7+1</f>
        <v>11.5</v>
      </c>
      <c r="AG706" s="11">
        <f>6*1</f>
        <v>6</v>
      </c>
      <c r="AH706" s="11"/>
      <c r="AI706" s="11"/>
    </row>
    <row r="707" spans="2:35" ht="12.75" customHeight="1" x14ac:dyDescent="0.2">
      <c r="B707" s="22"/>
      <c r="D707" s="11" t="s">
        <v>515</v>
      </c>
      <c r="E707" s="11">
        <v>30</v>
      </c>
      <c r="F707" s="337">
        <v>160180</v>
      </c>
      <c r="G707" s="339"/>
      <c r="H707" s="11"/>
      <c r="I707" s="344" t="s">
        <v>127</v>
      </c>
      <c r="J707" s="345"/>
      <c r="K707" s="13" t="s">
        <v>24</v>
      </c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>
        <f>3.5+7+2.75</f>
        <v>13.25</v>
      </c>
      <c r="AG707" s="11">
        <f>4</f>
        <v>4</v>
      </c>
      <c r="AH707" s="11"/>
      <c r="AI707" s="11"/>
    </row>
    <row r="708" spans="2:35" ht="12.75" customHeight="1" x14ac:dyDescent="0.2">
      <c r="B708" s="22"/>
      <c r="D708" s="11" t="s">
        <v>516</v>
      </c>
      <c r="E708" s="11">
        <v>30</v>
      </c>
      <c r="F708" s="337">
        <v>173708</v>
      </c>
      <c r="G708" s="339"/>
      <c r="H708" s="11"/>
      <c r="I708" s="344" t="s">
        <v>121</v>
      </c>
      <c r="J708" s="345"/>
      <c r="K708" s="13" t="s">
        <v>24</v>
      </c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32"/>
      <c r="Y708" s="11"/>
      <c r="Z708" s="11"/>
      <c r="AA708" s="11"/>
      <c r="AB708" s="11"/>
      <c r="AC708" s="11"/>
      <c r="AD708" s="11"/>
      <c r="AE708" s="11"/>
      <c r="AF708" s="11">
        <f>3.5+7+2+1+1.25</f>
        <v>14.75</v>
      </c>
      <c r="AG708" s="11">
        <f>2*1</f>
        <v>2</v>
      </c>
      <c r="AH708" s="11"/>
      <c r="AI708" s="11"/>
    </row>
    <row r="709" spans="2:35" ht="12.75" customHeight="1" x14ac:dyDescent="0.2">
      <c r="B709" s="22"/>
      <c r="D709" s="11"/>
      <c r="E709" s="11">
        <v>30</v>
      </c>
      <c r="F709" s="337">
        <v>173708</v>
      </c>
      <c r="G709" s="339"/>
      <c r="H709" s="11"/>
      <c r="I709" s="344" t="s">
        <v>122</v>
      </c>
      <c r="J709" s="345"/>
      <c r="K709" s="13" t="s">
        <v>24</v>
      </c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32"/>
      <c r="Y709" s="11"/>
      <c r="Z709" s="11"/>
      <c r="AA709" s="11"/>
      <c r="AB709" s="11"/>
      <c r="AC709" s="11"/>
      <c r="AD709" s="11"/>
      <c r="AE709" s="11"/>
      <c r="AF709" s="11"/>
      <c r="AG709" s="11">
        <f>2*2</f>
        <v>4</v>
      </c>
      <c r="AH709" s="11"/>
      <c r="AI709" s="11"/>
    </row>
    <row r="710" spans="2:35" ht="12.75" customHeight="1" x14ac:dyDescent="0.2">
      <c r="B710" s="22"/>
      <c r="D710" s="11"/>
      <c r="E710" s="11">
        <v>30</v>
      </c>
      <c r="F710" s="337">
        <v>173708</v>
      </c>
      <c r="G710" s="339"/>
      <c r="H710" s="11"/>
      <c r="I710" s="344" t="s">
        <v>125</v>
      </c>
      <c r="J710" s="345"/>
      <c r="K710" s="13" t="s">
        <v>24</v>
      </c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>
        <f>1.75*1.25</f>
        <v>2.1875</v>
      </c>
      <c r="AH710" s="11"/>
      <c r="AI710" s="11"/>
    </row>
    <row r="711" spans="2:35" ht="12.75" customHeight="1" x14ac:dyDescent="0.2">
      <c r="B711" s="22"/>
      <c r="D711" s="11" t="s">
        <v>517</v>
      </c>
      <c r="E711" s="11">
        <v>30</v>
      </c>
      <c r="F711" s="337">
        <v>160121</v>
      </c>
      <c r="G711" s="339"/>
      <c r="H711" s="11"/>
      <c r="I711" s="344" t="s">
        <v>118</v>
      </c>
      <c r="J711" s="345"/>
      <c r="K711" s="13" t="s">
        <v>24</v>
      </c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>
        <f>3.5+7+2.5+2.5</f>
        <v>15.5</v>
      </c>
      <c r="AG711" s="11">
        <f>2*2.5</f>
        <v>5</v>
      </c>
      <c r="AH711" s="11"/>
      <c r="AI711" s="11"/>
    </row>
    <row r="712" spans="2:35" ht="12.75" customHeight="1" x14ac:dyDescent="0.2">
      <c r="B712" s="22"/>
      <c r="D712" s="11"/>
      <c r="E712" s="11">
        <v>30</v>
      </c>
      <c r="F712" s="337">
        <v>160121</v>
      </c>
      <c r="G712" s="339"/>
      <c r="H712" s="11"/>
      <c r="I712" s="344" t="s">
        <v>119</v>
      </c>
      <c r="J712" s="345"/>
      <c r="K712" s="13" t="s">
        <v>24</v>
      </c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>
        <f>1.5*1.5</f>
        <v>2.25</v>
      </c>
      <c r="AH712" s="11"/>
      <c r="AI712" s="11"/>
    </row>
    <row r="713" spans="2:35" ht="12.75" customHeight="1" x14ac:dyDescent="0.2">
      <c r="B713" s="22"/>
      <c r="D713" s="11" t="s">
        <v>518</v>
      </c>
      <c r="E713" s="11">
        <v>30</v>
      </c>
      <c r="F713" s="337">
        <v>173400</v>
      </c>
      <c r="G713" s="339"/>
      <c r="H713" s="11"/>
      <c r="I713" s="344" t="s">
        <v>121</v>
      </c>
      <c r="J713" s="345"/>
      <c r="K713" s="13" t="s">
        <v>25</v>
      </c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>
        <f>3.5+7+1+2+2+2.5</f>
        <v>18</v>
      </c>
      <c r="AG713" s="11">
        <f>2*1</f>
        <v>2</v>
      </c>
      <c r="AH713" s="11"/>
      <c r="AI713" s="11"/>
    </row>
    <row r="714" spans="2:35" ht="12.75" customHeight="1" x14ac:dyDescent="0.2">
      <c r="B714" s="22"/>
      <c r="D714" s="11"/>
      <c r="E714" s="11">
        <v>30</v>
      </c>
      <c r="F714" s="337">
        <v>173400</v>
      </c>
      <c r="G714" s="339"/>
      <c r="H714" s="11"/>
      <c r="I714" s="344" t="s">
        <v>122</v>
      </c>
      <c r="J714" s="345"/>
      <c r="K714" s="13" t="s">
        <v>25</v>
      </c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>
        <f>2*2</f>
        <v>4</v>
      </c>
      <c r="AH714" s="11"/>
      <c r="AI714" s="11"/>
    </row>
    <row r="715" spans="2:35" ht="12.75" customHeight="1" x14ac:dyDescent="0.2">
      <c r="B715" s="22"/>
      <c r="D715" s="11"/>
      <c r="E715" s="11">
        <v>30</v>
      </c>
      <c r="F715" s="337">
        <v>173400</v>
      </c>
      <c r="G715" s="339"/>
      <c r="H715" s="11"/>
      <c r="I715" s="344" t="s">
        <v>123</v>
      </c>
      <c r="J715" s="345"/>
      <c r="K715" s="13" t="s">
        <v>25</v>
      </c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>
        <f>2*2</f>
        <v>4</v>
      </c>
      <c r="AH715" s="11"/>
      <c r="AI715" s="11"/>
    </row>
    <row r="716" spans="2:35" ht="12.75" customHeight="1" x14ac:dyDescent="0.2">
      <c r="B716" s="22"/>
      <c r="D716" s="11"/>
      <c r="E716" s="11">
        <v>30</v>
      </c>
      <c r="F716" s="337">
        <v>173400</v>
      </c>
      <c r="G716" s="339"/>
      <c r="H716" s="11"/>
      <c r="I716" s="344" t="s">
        <v>124</v>
      </c>
      <c r="J716" s="345"/>
      <c r="K716" s="13" t="s">
        <v>25</v>
      </c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>
        <f>2*2.5</f>
        <v>5</v>
      </c>
      <c r="AH716" s="11"/>
      <c r="AI716" s="11"/>
    </row>
    <row r="717" spans="2:35" ht="12.75" customHeight="1" x14ac:dyDescent="0.2">
      <c r="B717" s="22"/>
      <c r="D717" s="11" t="s">
        <v>519</v>
      </c>
      <c r="E717" s="11">
        <v>30</v>
      </c>
      <c r="F717" s="337">
        <v>173560</v>
      </c>
      <c r="G717" s="339"/>
      <c r="H717" s="11"/>
      <c r="I717" s="344" t="s">
        <v>121</v>
      </c>
      <c r="J717" s="345"/>
      <c r="K717" s="13" t="s">
        <v>25</v>
      </c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>
        <f>3.5+7+1+2+1.25</f>
        <v>14.75</v>
      </c>
      <c r="AG717" s="11">
        <f>2*1</f>
        <v>2</v>
      </c>
      <c r="AH717" s="11"/>
      <c r="AI717" s="11"/>
    </row>
    <row r="718" spans="2:35" ht="12.75" customHeight="1" x14ac:dyDescent="0.2">
      <c r="B718" s="22"/>
      <c r="D718" s="11"/>
      <c r="E718" s="11">
        <v>30</v>
      </c>
      <c r="F718" s="337">
        <v>173560</v>
      </c>
      <c r="G718" s="339"/>
      <c r="H718" s="11"/>
      <c r="I718" s="344" t="s">
        <v>122</v>
      </c>
      <c r="J718" s="345"/>
      <c r="K718" s="13" t="s">
        <v>25</v>
      </c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>
        <f>2*2</f>
        <v>4</v>
      </c>
      <c r="AH718" s="11"/>
      <c r="AI718" s="11"/>
    </row>
    <row r="719" spans="2:35" ht="12.75" customHeight="1" x14ac:dyDescent="0.2">
      <c r="B719" s="22"/>
      <c r="D719" s="11"/>
      <c r="E719" s="11">
        <v>30</v>
      </c>
      <c r="F719" s="337">
        <v>173560</v>
      </c>
      <c r="G719" s="339"/>
      <c r="H719" s="11"/>
      <c r="I719" s="344" t="s">
        <v>125</v>
      </c>
      <c r="J719" s="345"/>
      <c r="K719" s="13" t="s">
        <v>25</v>
      </c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>
        <f>1.75*1.25</f>
        <v>2.1875</v>
      </c>
      <c r="AH719" s="11"/>
      <c r="AI719" s="11"/>
    </row>
    <row r="720" spans="2:35" ht="12.75" customHeight="1" x14ac:dyDescent="0.2">
      <c r="B720" s="22"/>
      <c r="D720" s="11" t="s">
        <v>520</v>
      </c>
      <c r="E720" s="11">
        <v>30</v>
      </c>
      <c r="F720" s="337">
        <v>173587</v>
      </c>
      <c r="G720" s="339"/>
      <c r="H720" s="11"/>
      <c r="I720" s="344" t="s">
        <v>101</v>
      </c>
      <c r="J720" s="345"/>
      <c r="K720" s="13" t="s">
        <v>25</v>
      </c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>
        <f>3.5+7+4.5+1</f>
        <v>16</v>
      </c>
      <c r="AG720" s="11">
        <f>3*3</f>
        <v>9</v>
      </c>
      <c r="AH720" s="11"/>
      <c r="AI720" s="11"/>
    </row>
    <row r="721" spans="2:35" ht="12.75" customHeight="1" x14ac:dyDescent="0.2">
      <c r="B721" s="22"/>
      <c r="D721" s="11"/>
      <c r="E721" s="11">
        <v>30</v>
      </c>
      <c r="F721" s="337">
        <v>173587</v>
      </c>
      <c r="G721" s="339"/>
      <c r="H721" s="11"/>
      <c r="I721" s="344" t="s">
        <v>100</v>
      </c>
      <c r="J721" s="345"/>
      <c r="K721" s="13" t="s">
        <v>25</v>
      </c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>
        <f>2*1</f>
        <v>2</v>
      </c>
      <c r="AH721" s="11"/>
      <c r="AI721" s="11"/>
    </row>
    <row r="722" spans="2:35" ht="12.75" customHeight="1" x14ac:dyDescent="0.2">
      <c r="B722" s="22"/>
      <c r="D722" s="11" t="s">
        <v>521</v>
      </c>
      <c r="E722" s="11">
        <v>30</v>
      </c>
      <c r="F722" s="337">
        <v>173587</v>
      </c>
      <c r="G722" s="339"/>
      <c r="H722" s="11"/>
      <c r="I722" s="344" t="s">
        <v>127</v>
      </c>
      <c r="J722" s="345"/>
      <c r="K722" s="13" t="s">
        <v>25</v>
      </c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>
        <f>3.5+7+2.75</f>
        <v>13.25</v>
      </c>
      <c r="AG722" s="11">
        <f>4</f>
        <v>4</v>
      </c>
      <c r="AH722" s="11"/>
      <c r="AI722" s="11"/>
    </row>
    <row r="723" spans="2:35" ht="12.75" customHeight="1" x14ac:dyDescent="0.2">
      <c r="B723" s="22"/>
      <c r="D723" s="11" t="s">
        <v>522</v>
      </c>
      <c r="E723" s="11">
        <v>30</v>
      </c>
      <c r="F723" s="337">
        <v>173621</v>
      </c>
      <c r="G723" s="339"/>
      <c r="H723" s="11"/>
      <c r="I723" s="344" t="s">
        <v>118</v>
      </c>
      <c r="J723" s="345"/>
      <c r="K723" s="13" t="s">
        <v>25</v>
      </c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>
        <f>3.5+7+2.5+2.5</f>
        <v>15.5</v>
      </c>
      <c r="AG723" s="11">
        <f>2*2.5</f>
        <v>5</v>
      </c>
      <c r="AH723" s="11"/>
      <c r="AI723" s="11"/>
    </row>
    <row r="724" spans="2:35" ht="12.75" customHeight="1" x14ac:dyDescent="0.2">
      <c r="B724" s="22"/>
      <c r="D724" s="11"/>
      <c r="E724" s="11">
        <v>30</v>
      </c>
      <c r="F724" s="337">
        <v>173621</v>
      </c>
      <c r="G724" s="339"/>
      <c r="H724" s="11"/>
      <c r="I724" s="344" t="s">
        <v>119</v>
      </c>
      <c r="J724" s="345"/>
      <c r="K724" s="13" t="s">
        <v>25</v>
      </c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>
        <f>1.5*1.5</f>
        <v>2.25</v>
      </c>
      <c r="AH724" s="11"/>
      <c r="AI724" s="11"/>
    </row>
    <row r="725" spans="2:35" ht="12.75" customHeight="1" x14ac:dyDescent="0.2">
      <c r="B725" s="22"/>
      <c r="D725" s="11" t="s">
        <v>523</v>
      </c>
      <c r="E725" s="11">
        <v>30</v>
      </c>
      <c r="F725" s="337">
        <v>173658</v>
      </c>
      <c r="G725" s="339"/>
      <c r="H725" s="11"/>
      <c r="I725" s="344" t="s">
        <v>101</v>
      </c>
      <c r="J725" s="345"/>
      <c r="K725" s="13" t="s">
        <v>25</v>
      </c>
      <c r="L725" s="11"/>
      <c r="M725" s="11"/>
      <c r="N725" s="35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>
        <f>3.5+7+4.5+1</f>
        <v>16</v>
      </c>
      <c r="AG725" s="11">
        <f>3*3</f>
        <v>9</v>
      </c>
      <c r="AH725" s="11"/>
      <c r="AI725" s="11"/>
    </row>
    <row r="726" spans="2:35" ht="12.75" customHeight="1" x14ac:dyDescent="0.2">
      <c r="B726" s="22"/>
      <c r="D726" s="11"/>
      <c r="E726" s="11">
        <v>30</v>
      </c>
      <c r="F726" s="337">
        <v>173658</v>
      </c>
      <c r="G726" s="339"/>
      <c r="H726" s="11"/>
      <c r="I726" s="344" t="s">
        <v>100</v>
      </c>
      <c r="J726" s="345"/>
      <c r="K726" s="13" t="s">
        <v>25</v>
      </c>
      <c r="L726" s="11"/>
      <c r="M726" s="11"/>
      <c r="N726" s="35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>
        <f>2*1</f>
        <v>2</v>
      </c>
      <c r="AH726" s="11"/>
      <c r="AI726" s="11"/>
    </row>
    <row r="727" spans="2:35" ht="12.75" customHeight="1" x14ac:dyDescent="0.2">
      <c r="B727" s="22"/>
      <c r="D727" s="11" t="s">
        <v>524</v>
      </c>
      <c r="E727" s="11">
        <v>30</v>
      </c>
      <c r="F727" s="337">
        <v>173712</v>
      </c>
      <c r="G727" s="339"/>
      <c r="H727" s="11"/>
      <c r="I727" s="344" t="s">
        <v>127</v>
      </c>
      <c r="J727" s="345"/>
      <c r="K727" s="13" t="s">
        <v>25</v>
      </c>
      <c r="L727" s="11"/>
      <c r="M727" s="11"/>
      <c r="N727" s="11"/>
      <c r="O727" s="35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>
        <f>3.5+7+2.75</f>
        <v>13.25</v>
      </c>
      <c r="AG727" s="11">
        <f>4</f>
        <v>4</v>
      </c>
      <c r="AH727" s="11"/>
      <c r="AI727" s="11"/>
    </row>
    <row r="728" spans="2:35" ht="12.75" customHeight="1" x14ac:dyDescent="0.2">
      <c r="B728" s="22"/>
      <c r="D728" s="11" t="s">
        <v>538</v>
      </c>
      <c r="E728" s="11">
        <v>31</v>
      </c>
      <c r="F728" s="337"/>
      <c r="G728" s="339"/>
      <c r="H728" s="11"/>
      <c r="I728" s="344"/>
      <c r="J728" s="345"/>
      <c r="K728" s="13" t="s">
        <v>24</v>
      </c>
      <c r="L728" s="11"/>
      <c r="M728" s="11"/>
      <c r="N728" s="11"/>
      <c r="O728" s="35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>
        <v>4</v>
      </c>
      <c r="AI728" s="11">
        <v>1</v>
      </c>
    </row>
    <row r="729" spans="2:35" ht="12.75" customHeight="1" x14ac:dyDescent="0.2">
      <c r="B729" s="22"/>
      <c r="D729" s="11" t="s">
        <v>539</v>
      </c>
      <c r="E729" s="11">
        <v>31</v>
      </c>
      <c r="F729" s="337"/>
      <c r="G729" s="339"/>
      <c r="H729" s="13"/>
      <c r="I729" s="344"/>
      <c r="J729" s="345"/>
      <c r="K729" s="13" t="s">
        <v>24</v>
      </c>
      <c r="L729" s="11"/>
      <c r="M729" s="11"/>
      <c r="N729" s="11"/>
      <c r="O729" s="11"/>
      <c r="P729" s="35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>
        <v>2</v>
      </c>
      <c r="AI729" s="11">
        <v>2</v>
      </c>
    </row>
    <row r="730" spans="2:35" ht="12.75" customHeight="1" x14ac:dyDescent="0.2">
      <c r="B730" s="22"/>
      <c r="D730" s="11" t="s">
        <v>540</v>
      </c>
      <c r="E730" s="11">
        <v>31</v>
      </c>
      <c r="F730" s="337"/>
      <c r="G730" s="339"/>
      <c r="H730" s="13"/>
      <c r="I730" s="344"/>
      <c r="J730" s="345"/>
      <c r="K730" s="13" t="s">
        <v>25</v>
      </c>
      <c r="L730" s="11"/>
      <c r="M730" s="11"/>
      <c r="N730" s="11"/>
      <c r="O730" s="11"/>
      <c r="P730" s="35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>
        <v>2</v>
      </c>
      <c r="AI730" s="11">
        <v>2</v>
      </c>
    </row>
    <row r="731" spans="2:35" ht="12.75" customHeight="1" x14ac:dyDescent="0.2">
      <c r="B731" s="22"/>
      <c r="D731" s="11" t="s">
        <v>531</v>
      </c>
      <c r="E731" s="11">
        <v>31</v>
      </c>
      <c r="F731" s="343">
        <v>173905</v>
      </c>
      <c r="G731" s="343"/>
      <c r="H731" s="13"/>
      <c r="I731" s="344" t="s">
        <v>140</v>
      </c>
      <c r="J731" s="345"/>
      <c r="K731" s="13" t="s">
        <v>24</v>
      </c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>
        <f>3.5+7+3+1</f>
        <v>14.5</v>
      </c>
      <c r="AG731" s="11">
        <f>2.5*1</f>
        <v>2.5</v>
      </c>
      <c r="AH731" s="11"/>
      <c r="AI731" s="11"/>
    </row>
    <row r="732" spans="2:35" ht="12.75" customHeight="1" x14ac:dyDescent="0.2">
      <c r="B732" s="22"/>
      <c r="D732" s="11"/>
      <c r="E732" s="11">
        <v>31</v>
      </c>
      <c r="F732" s="343">
        <v>173905</v>
      </c>
      <c r="G732" s="343"/>
      <c r="H732" s="11"/>
      <c r="I732" s="344" t="s">
        <v>141</v>
      </c>
      <c r="J732" s="345"/>
      <c r="K732" s="13" t="s">
        <v>24</v>
      </c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>
        <f>2*3</f>
        <v>6</v>
      </c>
      <c r="AH732" s="11"/>
      <c r="AI732" s="11"/>
    </row>
    <row r="733" spans="2:35" ht="12.75" customHeight="1" x14ac:dyDescent="0.2">
      <c r="B733" s="22"/>
      <c r="D733" s="11" t="s">
        <v>532</v>
      </c>
      <c r="E733" s="11">
        <v>31</v>
      </c>
      <c r="F733" s="343">
        <v>174050</v>
      </c>
      <c r="G733" s="343"/>
      <c r="H733" s="11"/>
      <c r="I733" s="344" t="s">
        <v>129</v>
      </c>
      <c r="J733" s="345"/>
      <c r="K733" s="13" t="s">
        <v>24</v>
      </c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>
        <f>3.5+7+1+2+2+2.5</f>
        <v>18</v>
      </c>
      <c r="AG733" s="11">
        <f>2*1</f>
        <v>2</v>
      </c>
      <c r="AH733" s="11"/>
      <c r="AI733" s="11"/>
    </row>
    <row r="734" spans="2:35" ht="12.75" customHeight="1" x14ac:dyDescent="0.2">
      <c r="B734" s="22"/>
      <c r="D734" s="11"/>
      <c r="E734" s="11">
        <v>31</v>
      </c>
      <c r="F734" s="337">
        <v>174050</v>
      </c>
      <c r="G734" s="339"/>
      <c r="H734" s="11"/>
      <c r="I734" s="344" t="s">
        <v>122</v>
      </c>
      <c r="J734" s="345"/>
      <c r="K734" s="13" t="s">
        <v>24</v>
      </c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>
        <f>2*2</f>
        <v>4</v>
      </c>
      <c r="AH734" s="11"/>
      <c r="AI734" s="11"/>
    </row>
    <row r="735" spans="2:35" ht="12.75" customHeight="1" x14ac:dyDescent="0.2">
      <c r="B735" s="22"/>
      <c r="D735" s="11"/>
      <c r="E735" s="11">
        <v>31</v>
      </c>
      <c r="F735" s="337">
        <v>174050</v>
      </c>
      <c r="G735" s="339"/>
      <c r="H735" s="11"/>
      <c r="I735" s="344" t="s">
        <v>123</v>
      </c>
      <c r="J735" s="345"/>
      <c r="K735" s="13" t="s">
        <v>24</v>
      </c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>
        <f>2*2</f>
        <v>4</v>
      </c>
      <c r="AH735" s="11"/>
      <c r="AI735" s="11"/>
    </row>
    <row r="736" spans="2:35" ht="12.75" customHeight="1" x14ac:dyDescent="0.2">
      <c r="B736" s="22"/>
      <c r="D736" s="11"/>
      <c r="E736" s="11">
        <v>31</v>
      </c>
      <c r="F736" s="337">
        <v>174050</v>
      </c>
      <c r="G736" s="339"/>
      <c r="H736" s="11"/>
      <c r="I736" s="344" t="s">
        <v>124</v>
      </c>
      <c r="J736" s="345"/>
      <c r="K736" s="13" t="s">
        <v>24</v>
      </c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>
        <f>2*2.5</f>
        <v>5</v>
      </c>
      <c r="AH736" s="11"/>
      <c r="AI736" s="11"/>
    </row>
    <row r="737" spans="2:35" ht="12.75" customHeight="1" x14ac:dyDescent="0.2">
      <c r="B737" s="22"/>
      <c r="D737" s="11" t="s">
        <v>533</v>
      </c>
      <c r="E737" s="11">
        <v>31</v>
      </c>
      <c r="F737" s="337">
        <v>173908</v>
      </c>
      <c r="G737" s="339"/>
      <c r="H737" s="11"/>
      <c r="I737" s="344" t="s">
        <v>142</v>
      </c>
      <c r="J737" s="345"/>
      <c r="K737" s="13" t="s">
        <v>25</v>
      </c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>
        <f>3.5+7+3+1</f>
        <v>14.5</v>
      </c>
      <c r="AG737" s="11">
        <f>2.5*1</f>
        <v>2.5</v>
      </c>
      <c r="AH737" s="11"/>
      <c r="AI737" s="11"/>
    </row>
    <row r="738" spans="2:35" ht="12.75" customHeight="1" x14ac:dyDescent="0.2">
      <c r="B738" s="22"/>
      <c r="D738" s="11"/>
      <c r="E738" s="11">
        <v>31</v>
      </c>
      <c r="F738" s="337">
        <v>173908</v>
      </c>
      <c r="G738" s="339"/>
      <c r="H738" s="11"/>
      <c r="I738" s="344" t="s">
        <v>141</v>
      </c>
      <c r="J738" s="345"/>
      <c r="K738" s="13" t="s">
        <v>25</v>
      </c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>
        <f>2*3</f>
        <v>6</v>
      </c>
      <c r="AH738" s="11"/>
      <c r="AI738" s="11"/>
    </row>
    <row r="739" spans="2:35" ht="12.75" customHeight="1" x14ac:dyDescent="0.2">
      <c r="B739" s="22"/>
      <c r="D739" s="11" t="s">
        <v>534</v>
      </c>
      <c r="E739" s="11">
        <v>31</v>
      </c>
      <c r="F739" s="337">
        <v>173905</v>
      </c>
      <c r="G739" s="339"/>
      <c r="H739" s="11"/>
      <c r="I739" s="344" t="s">
        <v>118</v>
      </c>
      <c r="J739" s="345"/>
      <c r="K739" s="13" t="s">
        <v>24</v>
      </c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>
        <f>3.5+7+2.5+2.5</f>
        <v>15.5</v>
      </c>
      <c r="AG739" s="11">
        <f>2*2.5</f>
        <v>5</v>
      </c>
      <c r="AH739" s="11"/>
      <c r="AI739" s="11"/>
    </row>
    <row r="740" spans="2:35" ht="12.75" customHeight="1" x14ac:dyDescent="0.2">
      <c r="B740" s="22"/>
      <c r="D740" s="11"/>
      <c r="E740" s="11">
        <v>31</v>
      </c>
      <c r="F740" s="337">
        <v>173905</v>
      </c>
      <c r="G740" s="339"/>
      <c r="H740" s="11"/>
      <c r="I740" s="344" t="s">
        <v>119</v>
      </c>
      <c r="J740" s="345"/>
      <c r="K740" s="13" t="s">
        <v>24</v>
      </c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>
        <f>1.5*1.5</f>
        <v>2.25</v>
      </c>
      <c r="AH740" s="11"/>
      <c r="AI740" s="11"/>
    </row>
    <row r="741" spans="2:35" ht="12.75" customHeight="1" x14ac:dyDescent="0.2">
      <c r="B741" s="22"/>
      <c r="D741" s="11" t="s">
        <v>535</v>
      </c>
      <c r="E741" s="11">
        <v>31</v>
      </c>
      <c r="F741" s="337">
        <v>174014</v>
      </c>
      <c r="G741" s="339"/>
      <c r="H741" s="11"/>
      <c r="I741" s="344" t="s">
        <v>117</v>
      </c>
      <c r="J741" s="345"/>
      <c r="K741" s="13" t="s">
        <v>25</v>
      </c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>
        <f>3.5+7+4.5</f>
        <v>15</v>
      </c>
      <c r="AG741" s="11">
        <f>3*3</f>
        <v>9</v>
      </c>
      <c r="AH741" s="11"/>
      <c r="AI741" s="11"/>
    </row>
    <row r="742" spans="2:35" ht="12.75" customHeight="1" x14ac:dyDescent="0.2">
      <c r="B742" s="22"/>
      <c r="D742" s="11" t="s">
        <v>536</v>
      </c>
      <c r="E742" s="11">
        <v>31</v>
      </c>
      <c r="F742" s="337">
        <v>174141</v>
      </c>
      <c r="G742" s="339"/>
      <c r="H742" s="11"/>
      <c r="I742" s="344" t="s">
        <v>143</v>
      </c>
      <c r="J742" s="345"/>
      <c r="K742" s="13" t="s">
        <v>25</v>
      </c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>
        <f>3.5+7+2.5</f>
        <v>13</v>
      </c>
      <c r="AG742" s="11">
        <f>3*2.5</f>
        <v>7.5</v>
      </c>
      <c r="AH742" s="11"/>
      <c r="AI742" s="11"/>
    </row>
    <row r="743" spans="2:35" ht="12.75" customHeight="1" thickBot="1" x14ac:dyDescent="0.25">
      <c r="B743" s="23"/>
      <c r="D743" s="11" t="s">
        <v>537</v>
      </c>
      <c r="E743" s="11">
        <v>31</v>
      </c>
      <c r="F743" s="337">
        <v>174250</v>
      </c>
      <c r="G743" s="339"/>
      <c r="H743" s="11"/>
      <c r="I743" s="344" t="s">
        <v>114</v>
      </c>
      <c r="J743" s="345"/>
      <c r="K743" s="13" t="s">
        <v>25</v>
      </c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>
        <f>3.5+7+4.5+1+1.5</f>
        <v>17.5</v>
      </c>
      <c r="AG743" s="11">
        <f>3*3</f>
        <v>9</v>
      </c>
      <c r="AH743" s="11"/>
      <c r="AI743" s="11"/>
    </row>
    <row r="744" spans="2:35" ht="12.75" customHeight="1" x14ac:dyDescent="0.2">
      <c r="B744" s="5" t="s">
        <v>11</v>
      </c>
      <c r="D744" s="351" t="s">
        <v>2</v>
      </c>
      <c r="E744" s="352"/>
      <c r="F744" s="352"/>
      <c r="G744" s="352"/>
      <c r="H744" s="352"/>
      <c r="I744" s="352"/>
      <c r="J744" s="353"/>
      <c r="K744" s="14" t="str">
        <f>IF(K668="","",IF(OR(K683="", K683="LS", K683="LUMP"),IF(SUM(COUNTIF(K684:K743,"LS")+COUNTIF(K684:K743,"LUMP"))&gt;0,"LS",""),IF(SUM(K684:K743)&gt;0,ROUNDUP(SUM(K684:K743),0),"")))</f>
        <v/>
      </c>
      <c r="L744" s="14" t="str">
        <f t="shared" ref="L744:AI744" si="41">IF(L668="","",IF(OR(L683="", L683="LS", L683="LUMP"),IF(SUM(COUNTIF(L684:L743,"LS")+COUNTIF(L684:L743,"LUMP"))&gt;0,"LS",""),IF(SUM(L684:L743)&gt;0,ROUNDUP(SUM(L684:L743),0),"")))</f>
        <v/>
      </c>
      <c r="M744" s="14" t="str">
        <f t="shared" si="41"/>
        <v/>
      </c>
      <c r="N744" s="14" t="str">
        <f t="shared" si="41"/>
        <v/>
      </c>
      <c r="O744" s="14" t="str">
        <f t="shared" si="41"/>
        <v/>
      </c>
      <c r="P744" s="14" t="str">
        <f t="shared" si="41"/>
        <v/>
      </c>
      <c r="Q744" s="14" t="str">
        <f t="shared" si="41"/>
        <v/>
      </c>
      <c r="R744" s="14" t="str">
        <f t="shared" si="41"/>
        <v/>
      </c>
      <c r="S744" s="14" t="str">
        <f t="shared" si="41"/>
        <v/>
      </c>
      <c r="T744" s="14" t="str">
        <f t="shared" si="41"/>
        <v/>
      </c>
      <c r="U744" s="14" t="str">
        <f t="shared" si="41"/>
        <v/>
      </c>
      <c r="V744" s="14" t="str">
        <f t="shared" si="41"/>
        <v/>
      </c>
      <c r="W744" s="14" t="str">
        <f t="shared" si="41"/>
        <v/>
      </c>
      <c r="X744" s="14" t="str">
        <f t="shared" si="41"/>
        <v/>
      </c>
      <c r="Y744" s="14" t="str">
        <f t="shared" si="41"/>
        <v/>
      </c>
      <c r="Z744" s="14" t="str">
        <f t="shared" si="41"/>
        <v/>
      </c>
      <c r="AA744" s="14" t="str">
        <f t="shared" si="41"/>
        <v/>
      </c>
      <c r="AB744" s="14" t="str">
        <f t="shared" si="41"/>
        <v/>
      </c>
      <c r="AC744" s="14" t="str">
        <f t="shared" si="41"/>
        <v/>
      </c>
      <c r="AD744" s="14" t="str">
        <f t="shared" si="41"/>
        <v/>
      </c>
      <c r="AE744" s="14" t="str">
        <f t="shared" si="41"/>
        <v/>
      </c>
      <c r="AF744" s="14">
        <f t="shared" si="41"/>
        <v>433</v>
      </c>
      <c r="AG744" s="14">
        <f t="shared" si="41"/>
        <v>241</v>
      </c>
      <c r="AH744" s="14">
        <f t="shared" si="41"/>
        <v>18</v>
      </c>
      <c r="AI744" s="14">
        <f t="shared" si="41"/>
        <v>11</v>
      </c>
    </row>
    <row r="745" spans="2:35" ht="12.75" customHeight="1" thickBot="1" x14ac:dyDescent="0.25"/>
    <row r="746" spans="2:35" ht="12.75" customHeight="1" thickBot="1" x14ac:dyDescent="0.25">
      <c r="B746" s="20" t="s">
        <v>9</v>
      </c>
      <c r="D746" s="295" t="str">
        <f>"SUBSUMMARY SHEET " &amp; B747</f>
        <v xml:space="preserve">SUBSUMMARY SHEET </v>
      </c>
      <c r="E746" s="295"/>
      <c r="F746" s="295"/>
      <c r="G746" s="295"/>
      <c r="H746" s="295"/>
      <c r="I746" s="295"/>
      <c r="J746" s="295"/>
      <c r="K746" s="295"/>
      <c r="L746" s="295"/>
      <c r="M746" s="295"/>
      <c r="N746" s="295"/>
      <c r="O746" s="295"/>
      <c r="P746" s="295"/>
      <c r="Q746" s="295"/>
      <c r="R746" s="295"/>
      <c r="S746" s="295"/>
      <c r="T746" s="295"/>
      <c r="U746" s="295"/>
      <c r="V746" s="295"/>
      <c r="W746" s="295"/>
      <c r="X746" s="295"/>
      <c r="Y746" s="295"/>
      <c r="Z746" s="295"/>
      <c r="AA746" s="295"/>
      <c r="AB746" s="295"/>
      <c r="AC746" s="295"/>
      <c r="AD746" s="295"/>
      <c r="AE746" s="295"/>
      <c r="AF746" s="295"/>
      <c r="AG746" s="295"/>
      <c r="AH746" s="295"/>
      <c r="AI746" s="295"/>
    </row>
    <row r="747" spans="2:35" ht="12.75" customHeight="1" thickBot="1" x14ac:dyDescent="0.25">
      <c r="B747" s="24"/>
      <c r="D747" s="309" t="s">
        <v>7</v>
      </c>
      <c r="E747" s="309"/>
      <c r="F747" s="309"/>
      <c r="G747" s="309"/>
      <c r="H747" s="309"/>
      <c r="I747" s="309"/>
      <c r="J747" s="309"/>
      <c r="K747" s="19"/>
      <c r="L747" s="19"/>
      <c r="M747" s="19"/>
      <c r="N747" s="19" t="s">
        <v>36</v>
      </c>
      <c r="O747" s="19" t="s">
        <v>36</v>
      </c>
      <c r="P747" s="19" t="s">
        <v>39</v>
      </c>
      <c r="Q747" s="19" t="s">
        <v>40</v>
      </c>
      <c r="R747" s="19" t="s">
        <v>42</v>
      </c>
      <c r="S747" s="19" t="s">
        <v>44</v>
      </c>
      <c r="T747" s="19" t="s">
        <v>47</v>
      </c>
      <c r="U747" s="19" t="s">
        <v>49</v>
      </c>
      <c r="V747" s="19" t="s">
        <v>52</v>
      </c>
      <c r="W747" s="19" t="s">
        <v>53</v>
      </c>
      <c r="X747" s="19" t="s">
        <v>55</v>
      </c>
      <c r="Y747" s="19" t="s">
        <v>57</v>
      </c>
      <c r="Z747" s="19" t="s">
        <v>63</v>
      </c>
      <c r="AA747" s="19" t="s">
        <v>65</v>
      </c>
      <c r="AB747" s="19" t="s">
        <v>70</v>
      </c>
      <c r="AC747" s="19" t="s">
        <v>71</v>
      </c>
      <c r="AD747" s="19" t="s">
        <v>72</v>
      </c>
      <c r="AE747" s="19" t="s">
        <v>73</v>
      </c>
      <c r="AF747" s="19" t="s">
        <v>28</v>
      </c>
      <c r="AG747" s="19" t="s">
        <v>29</v>
      </c>
      <c r="AH747" s="19" t="s">
        <v>30</v>
      </c>
      <c r="AI747" s="19" t="s">
        <v>31</v>
      </c>
    </row>
    <row r="748" spans="2:35" ht="12.75" customHeight="1" thickBot="1" x14ac:dyDescent="0.25">
      <c r="D748" s="310" t="s">
        <v>8</v>
      </c>
      <c r="E748" s="310"/>
      <c r="F748" s="310"/>
      <c r="G748" s="310"/>
      <c r="H748" s="310"/>
      <c r="I748" s="310"/>
      <c r="J748" s="310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</row>
    <row r="749" spans="2:35" ht="12.75" customHeight="1" x14ac:dyDescent="0.2">
      <c r="B749" s="250" t="s">
        <v>10</v>
      </c>
      <c r="D749" s="360" t="s">
        <v>20</v>
      </c>
      <c r="E749" s="360" t="s">
        <v>21</v>
      </c>
      <c r="F749" s="363" t="s">
        <v>0</v>
      </c>
      <c r="G749" s="364"/>
      <c r="H749" s="364"/>
      <c r="I749" s="364"/>
      <c r="J749" s="365"/>
      <c r="K749" s="372" t="s">
        <v>23</v>
      </c>
      <c r="L749" s="7" t="str">
        <f>IF(OR(TRIM(L747)=0,TRIM(L747)=""),"",IF(IFERROR(TRIM(INDEX(QryItemNamed,MATCH(TRIM(L747),ITEM,0),2)),"")="Y","SPECIAL",LEFT(IFERROR(TRIM(INDEX(ITEM,MATCH(TRIM(L747),ITEM,0))),""),3)))</f>
        <v/>
      </c>
      <c r="M749" s="7" t="str">
        <f>IF(OR(TRIM(M747)=0,TRIM(M747)=""),"",IF(IFERROR(TRIM(INDEX(QryItemNamed,MATCH(TRIM(M747),ITEM,0),2)),"")="Y","SPECIAL",LEFT(IFERROR(TRIM(INDEX(ITEM,MATCH(TRIM(M747),ITEM,0))),""),3)))</f>
        <v/>
      </c>
      <c r="N749" s="7">
        <v>644</v>
      </c>
      <c r="O749" s="7">
        <v>644</v>
      </c>
      <c r="P749" s="7">
        <v>644</v>
      </c>
      <c r="Q749" s="7">
        <v>644</v>
      </c>
      <c r="R749" s="7">
        <v>644</v>
      </c>
      <c r="S749" s="7">
        <v>644</v>
      </c>
      <c r="T749" s="7">
        <v>644</v>
      </c>
      <c r="U749" s="7">
        <v>644</v>
      </c>
      <c r="V749" s="7">
        <v>644</v>
      </c>
      <c r="W749" s="7">
        <v>644</v>
      </c>
      <c r="X749" s="7">
        <v>644</v>
      </c>
      <c r="Y749" s="7">
        <v>644</v>
      </c>
      <c r="Z749" s="7">
        <v>644</v>
      </c>
      <c r="AA749" s="7">
        <v>644</v>
      </c>
      <c r="AB749" s="7">
        <v>618</v>
      </c>
      <c r="AC749" s="7" t="str">
        <f t="shared" ref="AC749:AI749" si="42">IF(OR(TRIM(AC747)=0,TRIM(AC747)=""),"",IF(IFERROR(TRIM(INDEX(QryItemNamed,MATCH(TRIM(AC747),ITEM,0),2)),"")="Y","SPECIAL",LEFT(IFERROR(TRIM(INDEX(ITEM,MATCH(TRIM(AC747),ITEM,0))),""),3)))</f>
        <v>618</v>
      </c>
      <c r="AD749" s="7" t="str">
        <f t="shared" si="42"/>
        <v>618</v>
      </c>
      <c r="AE749" s="7" t="str">
        <f t="shared" si="42"/>
        <v>618</v>
      </c>
      <c r="AF749" s="7" t="str">
        <f t="shared" si="42"/>
        <v>630</v>
      </c>
      <c r="AG749" s="7" t="str">
        <f t="shared" si="42"/>
        <v>630</v>
      </c>
      <c r="AH749" s="7" t="str">
        <f t="shared" si="42"/>
        <v>630</v>
      </c>
      <c r="AI749" s="7" t="str">
        <f t="shared" si="42"/>
        <v>630</v>
      </c>
    </row>
    <row r="750" spans="2:35" ht="12.75" customHeight="1" x14ac:dyDescent="0.2">
      <c r="B750" s="251"/>
      <c r="D750" s="361"/>
      <c r="E750" s="361"/>
      <c r="F750" s="366"/>
      <c r="G750" s="367"/>
      <c r="H750" s="367"/>
      <c r="I750" s="367"/>
      <c r="J750" s="368"/>
      <c r="K750" s="373"/>
      <c r="L750" s="375" t="str">
        <f>IF(OR(TRIM(L747)=0,TRIM(L747)=""),IF(L748="","",L748),IF(IFERROR(TRIM(INDEX(QryItemNamed,MATCH(TRIM(L747),ITEM,0),2)),"")="Y",TRIM(RIGHT(IFERROR(TRIM(INDEX(QryItemNamed,MATCH(TRIM(L747),ITEM,0),4)),"123456789012"),LEN(IFERROR(TRIM(INDEX(QryItemNamed,MATCH(TRIM(L747),ITEM,0),4)),"123456789012"))-9))&amp;L748,IFERROR(TRIM(INDEX(QryItemNamed,MATCH(TRIM(L747),ITEM,0),4))&amp;L748,"ITEM CODE DOES NOT EXIST IN ITEM MASTER")))</f>
        <v/>
      </c>
      <c r="M750" s="378" t="str">
        <f>IF(OR(TRIM(M747)=0,TRIM(M747)=""),IF(M748="","",M748),IF(IFERROR(TRIM(INDEX(QryItemNamed,MATCH(TRIM(M747),ITEM,0),2)),"")="Y",TRIM(RIGHT(IFERROR(TRIM(INDEX(QryItemNamed,MATCH(TRIM(M747),ITEM,0),4)),"123456789012"),LEN(IFERROR(TRIM(INDEX(QryItemNamed,MATCH(TRIM(M747),ITEM,0),4)),"123456789012"))-9))&amp;M748,IFERROR(TRIM(INDEX(QryItemNamed,MATCH(TRIM(M747),ITEM,0),4))&amp;M748,"ITEM CODE DOES NOT EXIST IN ITEM MASTER")))</f>
        <v/>
      </c>
      <c r="N750" s="381" t="s">
        <v>37</v>
      </c>
      <c r="O750" s="381" t="s">
        <v>38</v>
      </c>
      <c r="P750" s="381" t="s">
        <v>32</v>
      </c>
      <c r="Q750" s="381" t="s">
        <v>41</v>
      </c>
      <c r="R750" s="381" t="s">
        <v>43</v>
      </c>
      <c r="S750" s="381" t="s">
        <v>45</v>
      </c>
      <c r="T750" s="381" t="s">
        <v>48</v>
      </c>
      <c r="U750" s="381" t="s">
        <v>50</v>
      </c>
      <c r="V750" s="381" t="s">
        <v>59</v>
      </c>
      <c r="W750" s="381" t="s">
        <v>54</v>
      </c>
      <c r="X750" s="381" t="s">
        <v>56</v>
      </c>
      <c r="Y750" s="381" t="s">
        <v>58</v>
      </c>
      <c r="Z750" s="382" t="s">
        <v>64</v>
      </c>
      <c r="AA750" s="383" t="s">
        <v>66</v>
      </c>
      <c r="AB750" s="382" t="s">
        <v>74</v>
      </c>
      <c r="AC750" s="382" t="str">
        <f t="shared" ref="AC750:AI750" si="43">IF(OR(TRIM(AC747)=0,TRIM(AC747)=""),IF(AC748="","",AC748),IF(IFERROR(TRIM(INDEX(QryItemNamed,MATCH(TRIM(AC747),ITEM,0),2)),"")="Y",TRIM(RIGHT(IFERROR(TRIM(INDEX(QryItemNamed,MATCH(TRIM(AC747),ITEM,0),4)),"123456789012"),LEN(IFERROR(TRIM(INDEX(QryItemNamed,MATCH(TRIM(AC747),ITEM,0),4)),"123456789012"))-9))&amp;AC748,IFERROR(TRIM(INDEX(QryItemNamed,MATCH(TRIM(AC747),ITEM,0),4))&amp;AC748,"ITEM CODE DOES NOT EXIST IN ITEM MASTER")))</f>
        <v>RUMBLE STRIPES, EDGE LINE (CONCRETE)</v>
      </c>
      <c r="AD750" s="382" t="str">
        <f t="shared" si="43"/>
        <v>RUMBLE STRIPES, CENTER LINE (ASPHALT CONCRETE)</v>
      </c>
      <c r="AE750" s="382" t="str">
        <f t="shared" si="43"/>
        <v>RUMBLE STRIPES, CENTER LINE (CONCRETE)</v>
      </c>
      <c r="AF750" s="382" t="str">
        <f t="shared" si="43"/>
        <v>GROUND MOUNTED SUPPORT, NO. 3 POST</v>
      </c>
      <c r="AG750" s="382" t="str">
        <f t="shared" si="43"/>
        <v>SIGN, FLAT SHEET</v>
      </c>
      <c r="AH750" s="382" t="str">
        <f t="shared" si="43"/>
        <v>REMOVAL OF GROUND MOUNTED SIGN AND DISPOSAL</v>
      </c>
      <c r="AI750" s="382" t="str">
        <f t="shared" si="43"/>
        <v>REMOVAL OF GROUND MOUNTED POST SUPPORT AND DISPOSAL</v>
      </c>
    </row>
    <row r="751" spans="2:35" ht="12.75" customHeight="1" x14ac:dyDescent="0.2">
      <c r="B751" s="251"/>
      <c r="D751" s="361"/>
      <c r="E751" s="361"/>
      <c r="F751" s="366"/>
      <c r="G751" s="367"/>
      <c r="H751" s="367"/>
      <c r="I751" s="367"/>
      <c r="J751" s="368"/>
      <c r="K751" s="373"/>
      <c r="L751" s="376"/>
      <c r="M751" s="379"/>
      <c r="N751" s="381"/>
      <c r="O751" s="381"/>
      <c r="P751" s="381"/>
      <c r="Q751" s="381"/>
      <c r="R751" s="381"/>
      <c r="S751" s="381"/>
      <c r="T751" s="381"/>
      <c r="U751" s="381"/>
      <c r="V751" s="381"/>
      <c r="W751" s="381"/>
      <c r="X751" s="381"/>
      <c r="Y751" s="381"/>
      <c r="Z751" s="382"/>
      <c r="AA751" s="384"/>
      <c r="AB751" s="382"/>
      <c r="AC751" s="382"/>
      <c r="AD751" s="382"/>
      <c r="AE751" s="382"/>
      <c r="AF751" s="382"/>
      <c r="AG751" s="382"/>
      <c r="AH751" s="382"/>
      <c r="AI751" s="382"/>
    </row>
    <row r="752" spans="2:35" ht="12.75" customHeight="1" x14ac:dyDescent="0.2">
      <c r="B752" s="251"/>
      <c r="D752" s="361"/>
      <c r="E752" s="361"/>
      <c r="F752" s="366"/>
      <c r="G752" s="367"/>
      <c r="H752" s="367"/>
      <c r="I752" s="367"/>
      <c r="J752" s="368"/>
      <c r="K752" s="373"/>
      <c r="L752" s="376"/>
      <c r="M752" s="379"/>
      <c r="N752" s="381"/>
      <c r="O752" s="381"/>
      <c r="P752" s="381"/>
      <c r="Q752" s="381"/>
      <c r="R752" s="381"/>
      <c r="S752" s="381"/>
      <c r="T752" s="381"/>
      <c r="U752" s="381"/>
      <c r="V752" s="381"/>
      <c r="W752" s="381"/>
      <c r="X752" s="381"/>
      <c r="Y752" s="381"/>
      <c r="Z752" s="382"/>
      <c r="AA752" s="384"/>
      <c r="AB752" s="382"/>
      <c r="AC752" s="382"/>
      <c r="AD752" s="382"/>
      <c r="AE752" s="382"/>
      <c r="AF752" s="382"/>
      <c r="AG752" s="382"/>
      <c r="AH752" s="382"/>
      <c r="AI752" s="382"/>
    </row>
    <row r="753" spans="2:35" ht="12.75" customHeight="1" x14ac:dyDescent="0.2">
      <c r="B753" s="251"/>
      <c r="D753" s="361"/>
      <c r="E753" s="361"/>
      <c r="F753" s="366"/>
      <c r="G753" s="367"/>
      <c r="H753" s="367"/>
      <c r="I753" s="367"/>
      <c r="J753" s="368"/>
      <c r="K753" s="373"/>
      <c r="L753" s="376"/>
      <c r="M753" s="379"/>
      <c r="N753" s="381"/>
      <c r="O753" s="381"/>
      <c r="P753" s="381"/>
      <c r="Q753" s="381"/>
      <c r="R753" s="381"/>
      <c r="S753" s="381"/>
      <c r="T753" s="381"/>
      <c r="U753" s="381"/>
      <c r="V753" s="381"/>
      <c r="W753" s="381"/>
      <c r="X753" s="381"/>
      <c r="Y753" s="381"/>
      <c r="Z753" s="382"/>
      <c r="AA753" s="384"/>
      <c r="AB753" s="382"/>
      <c r="AC753" s="382"/>
      <c r="AD753" s="382"/>
      <c r="AE753" s="382"/>
      <c r="AF753" s="382"/>
      <c r="AG753" s="382"/>
      <c r="AH753" s="382"/>
      <c r="AI753" s="382"/>
    </row>
    <row r="754" spans="2:35" ht="12.75" customHeight="1" x14ac:dyDescent="0.2">
      <c r="B754" s="251"/>
      <c r="D754" s="361"/>
      <c r="E754" s="361"/>
      <c r="F754" s="366"/>
      <c r="G754" s="367"/>
      <c r="H754" s="367"/>
      <c r="I754" s="367"/>
      <c r="J754" s="368"/>
      <c r="K754" s="373"/>
      <c r="L754" s="376"/>
      <c r="M754" s="379"/>
      <c r="N754" s="381"/>
      <c r="O754" s="381"/>
      <c r="P754" s="381"/>
      <c r="Q754" s="381"/>
      <c r="R754" s="381"/>
      <c r="S754" s="381"/>
      <c r="T754" s="381"/>
      <c r="U754" s="381"/>
      <c r="V754" s="381"/>
      <c r="W754" s="381"/>
      <c r="X754" s="381"/>
      <c r="Y754" s="381"/>
      <c r="Z754" s="382"/>
      <c r="AA754" s="384"/>
      <c r="AB754" s="382"/>
      <c r="AC754" s="382"/>
      <c r="AD754" s="382"/>
      <c r="AE754" s="382"/>
      <c r="AF754" s="382"/>
      <c r="AG754" s="382"/>
      <c r="AH754" s="382"/>
      <c r="AI754" s="382"/>
    </row>
    <row r="755" spans="2:35" ht="12.75" customHeight="1" x14ac:dyDescent="0.2">
      <c r="B755" s="251"/>
      <c r="D755" s="361"/>
      <c r="E755" s="361"/>
      <c r="F755" s="366"/>
      <c r="G755" s="367"/>
      <c r="H755" s="367"/>
      <c r="I755" s="367"/>
      <c r="J755" s="368"/>
      <c r="K755" s="373"/>
      <c r="L755" s="376"/>
      <c r="M755" s="379"/>
      <c r="N755" s="381"/>
      <c r="O755" s="381"/>
      <c r="P755" s="381"/>
      <c r="Q755" s="381"/>
      <c r="R755" s="381"/>
      <c r="S755" s="381"/>
      <c r="T755" s="381"/>
      <c r="U755" s="381"/>
      <c r="V755" s="381"/>
      <c r="W755" s="381"/>
      <c r="X755" s="381"/>
      <c r="Y755" s="381"/>
      <c r="Z755" s="382"/>
      <c r="AA755" s="384"/>
      <c r="AB755" s="382"/>
      <c r="AC755" s="382"/>
      <c r="AD755" s="382"/>
      <c r="AE755" s="382"/>
      <c r="AF755" s="382"/>
      <c r="AG755" s="382"/>
      <c r="AH755" s="382"/>
      <c r="AI755" s="382"/>
    </row>
    <row r="756" spans="2:35" ht="12.75" customHeight="1" x14ac:dyDescent="0.2">
      <c r="B756" s="251"/>
      <c r="D756" s="361"/>
      <c r="E756" s="361"/>
      <c r="F756" s="366"/>
      <c r="G756" s="367"/>
      <c r="H756" s="367"/>
      <c r="I756" s="367"/>
      <c r="J756" s="368"/>
      <c r="K756" s="373"/>
      <c r="L756" s="376"/>
      <c r="M756" s="379"/>
      <c r="N756" s="381"/>
      <c r="O756" s="381"/>
      <c r="P756" s="381"/>
      <c r="Q756" s="381"/>
      <c r="R756" s="381"/>
      <c r="S756" s="381"/>
      <c r="T756" s="381"/>
      <c r="U756" s="381"/>
      <c r="V756" s="381"/>
      <c r="W756" s="381"/>
      <c r="X756" s="381"/>
      <c r="Y756" s="381"/>
      <c r="Z756" s="382"/>
      <c r="AA756" s="384"/>
      <c r="AB756" s="382"/>
      <c r="AC756" s="382"/>
      <c r="AD756" s="382"/>
      <c r="AE756" s="382"/>
      <c r="AF756" s="382"/>
      <c r="AG756" s="382"/>
      <c r="AH756" s="382"/>
      <c r="AI756" s="382"/>
    </row>
    <row r="757" spans="2:35" ht="12.75" customHeight="1" x14ac:dyDescent="0.2">
      <c r="B757" s="251"/>
      <c r="D757" s="361"/>
      <c r="E757" s="361"/>
      <c r="F757" s="366"/>
      <c r="G757" s="367"/>
      <c r="H757" s="367"/>
      <c r="I757" s="367"/>
      <c r="J757" s="368"/>
      <c r="K757" s="373"/>
      <c r="L757" s="376"/>
      <c r="M757" s="379"/>
      <c r="N757" s="381"/>
      <c r="O757" s="381"/>
      <c r="P757" s="381"/>
      <c r="Q757" s="381"/>
      <c r="R757" s="381"/>
      <c r="S757" s="381"/>
      <c r="T757" s="381"/>
      <c r="U757" s="381"/>
      <c r="V757" s="381"/>
      <c r="W757" s="381"/>
      <c r="X757" s="381"/>
      <c r="Y757" s="381"/>
      <c r="Z757" s="382"/>
      <c r="AA757" s="384"/>
      <c r="AB757" s="382"/>
      <c r="AC757" s="382"/>
      <c r="AD757" s="382"/>
      <c r="AE757" s="382"/>
      <c r="AF757" s="382"/>
      <c r="AG757" s="382"/>
      <c r="AH757" s="382"/>
      <c r="AI757" s="382"/>
    </row>
    <row r="758" spans="2:35" ht="12.75" customHeight="1" x14ac:dyDescent="0.2">
      <c r="B758" s="251"/>
      <c r="D758" s="361"/>
      <c r="E758" s="361"/>
      <c r="F758" s="366"/>
      <c r="G758" s="367"/>
      <c r="H758" s="367"/>
      <c r="I758" s="367"/>
      <c r="J758" s="368"/>
      <c r="K758" s="373"/>
      <c r="L758" s="376"/>
      <c r="M758" s="379"/>
      <c r="N758" s="381"/>
      <c r="O758" s="381"/>
      <c r="P758" s="381"/>
      <c r="Q758" s="381"/>
      <c r="R758" s="381"/>
      <c r="S758" s="381"/>
      <c r="T758" s="381"/>
      <c r="U758" s="381"/>
      <c r="V758" s="381"/>
      <c r="W758" s="381"/>
      <c r="X758" s="381"/>
      <c r="Y758" s="381"/>
      <c r="Z758" s="382"/>
      <c r="AA758" s="384"/>
      <c r="AB758" s="382"/>
      <c r="AC758" s="382"/>
      <c r="AD758" s="382"/>
      <c r="AE758" s="382"/>
      <c r="AF758" s="382"/>
      <c r="AG758" s="382"/>
      <c r="AH758" s="382"/>
      <c r="AI758" s="382"/>
    </row>
    <row r="759" spans="2:35" ht="12.75" customHeight="1" x14ac:dyDescent="0.2">
      <c r="B759" s="251"/>
      <c r="D759" s="361"/>
      <c r="E759" s="361"/>
      <c r="F759" s="366"/>
      <c r="G759" s="367"/>
      <c r="H759" s="367"/>
      <c r="I759" s="367"/>
      <c r="J759" s="368"/>
      <c r="K759" s="373"/>
      <c r="L759" s="376"/>
      <c r="M759" s="379"/>
      <c r="N759" s="381"/>
      <c r="O759" s="381"/>
      <c r="P759" s="381"/>
      <c r="Q759" s="381"/>
      <c r="R759" s="381"/>
      <c r="S759" s="381"/>
      <c r="T759" s="381"/>
      <c r="U759" s="381"/>
      <c r="V759" s="381"/>
      <c r="W759" s="381"/>
      <c r="X759" s="381"/>
      <c r="Y759" s="381"/>
      <c r="Z759" s="382"/>
      <c r="AA759" s="384"/>
      <c r="AB759" s="382"/>
      <c r="AC759" s="382"/>
      <c r="AD759" s="382"/>
      <c r="AE759" s="382"/>
      <c r="AF759" s="382"/>
      <c r="AG759" s="382"/>
      <c r="AH759" s="382"/>
      <c r="AI759" s="382"/>
    </row>
    <row r="760" spans="2:35" ht="12.75" customHeight="1" x14ac:dyDescent="0.2">
      <c r="B760" s="251"/>
      <c r="D760" s="361"/>
      <c r="E760" s="361"/>
      <c r="F760" s="366"/>
      <c r="G760" s="367"/>
      <c r="H760" s="367"/>
      <c r="I760" s="367"/>
      <c r="J760" s="368"/>
      <c r="K760" s="373"/>
      <c r="L760" s="376"/>
      <c r="M760" s="379"/>
      <c r="N760" s="381"/>
      <c r="O760" s="381"/>
      <c r="P760" s="381"/>
      <c r="Q760" s="381"/>
      <c r="R760" s="381"/>
      <c r="S760" s="381"/>
      <c r="T760" s="381"/>
      <c r="U760" s="381"/>
      <c r="V760" s="381"/>
      <c r="W760" s="381"/>
      <c r="X760" s="381"/>
      <c r="Y760" s="381"/>
      <c r="Z760" s="382"/>
      <c r="AA760" s="384"/>
      <c r="AB760" s="382"/>
      <c r="AC760" s="382"/>
      <c r="AD760" s="382"/>
      <c r="AE760" s="382"/>
      <c r="AF760" s="382"/>
      <c r="AG760" s="382"/>
      <c r="AH760" s="382"/>
      <c r="AI760" s="382"/>
    </row>
    <row r="761" spans="2:35" ht="12.75" customHeight="1" x14ac:dyDescent="0.2">
      <c r="B761" s="251"/>
      <c r="D761" s="361"/>
      <c r="E761" s="361"/>
      <c r="F761" s="366"/>
      <c r="G761" s="367"/>
      <c r="H761" s="367"/>
      <c r="I761" s="367"/>
      <c r="J761" s="368"/>
      <c r="K761" s="373"/>
      <c r="L761" s="377"/>
      <c r="M761" s="380"/>
      <c r="N761" s="381"/>
      <c r="O761" s="381"/>
      <c r="P761" s="381"/>
      <c r="Q761" s="381"/>
      <c r="R761" s="381"/>
      <c r="S761" s="381"/>
      <c r="T761" s="381"/>
      <c r="U761" s="381"/>
      <c r="V761" s="381"/>
      <c r="W761" s="381"/>
      <c r="X761" s="381"/>
      <c r="Y761" s="381"/>
      <c r="Z761" s="382"/>
      <c r="AA761" s="385"/>
      <c r="AB761" s="382"/>
      <c r="AC761" s="382"/>
      <c r="AD761" s="382"/>
      <c r="AE761" s="382"/>
      <c r="AF761" s="382"/>
      <c r="AG761" s="382"/>
      <c r="AH761" s="382"/>
      <c r="AI761" s="382"/>
    </row>
    <row r="762" spans="2:35" ht="12.75" customHeight="1" thickBot="1" x14ac:dyDescent="0.25">
      <c r="B762" s="252"/>
      <c r="D762" s="362"/>
      <c r="E762" s="362"/>
      <c r="F762" s="369"/>
      <c r="G762" s="370"/>
      <c r="H762" s="370"/>
      <c r="I762" s="370"/>
      <c r="J762" s="371"/>
      <c r="K762" s="374"/>
      <c r="L762" s="8" t="str">
        <f t="shared" ref="L762:Q762" si="44">IF(OR(TRIM(L747)=0,TRIM(L747)=""),"",IFERROR(TRIM(INDEX(QryItemNamed,MATCH(TRIM(L747),ITEM,0),3)),""))</f>
        <v/>
      </c>
      <c r="M762" s="8" t="str">
        <f t="shared" si="44"/>
        <v/>
      </c>
      <c r="N762" s="8" t="str">
        <f t="shared" si="44"/>
        <v>MILE</v>
      </c>
      <c r="O762" s="8" t="str">
        <f t="shared" si="44"/>
        <v>MILE</v>
      </c>
      <c r="P762" s="8" t="str">
        <f t="shared" si="44"/>
        <v>MILE</v>
      </c>
      <c r="Q762" s="8" t="str">
        <f t="shared" si="44"/>
        <v>FT</v>
      </c>
      <c r="R762" s="8" t="s">
        <v>46</v>
      </c>
      <c r="S762" s="8" t="s">
        <v>46</v>
      </c>
      <c r="T762" s="8" t="s">
        <v>46</v>
      </c>
      <c r="U762" s="8" t="s">
        <v>51</v>
      </c>
      <c r="V762" s="8" t="s">
        <v>51</v>
      </c>
      <c r="W762" s="8" t="s">
        <v>51</v>
      </c>
      <c r="X762" s="8" t="str">
        <f>IF(OR(TRIM(X747)=0,TRIM(X747)=""),"",IFERROR(TRIM(INDEX(QryItemNamed,MATCH(TRIM(X747),ITEM,0),3)),""))</f>
        <v>FT</v>
      </c>
      <c r="Y762" s="8" t="s">
        <v>46</v>
      </c>
      <c r="Z762" s="8" t="str">
        <f t="shared" ref="Z762:AI762" si="45">IF(OR(TRIM(Z747)=0,TRIM(Z747)=""),"",IFERROR(TRIM(INDEX(QryItemNamed,MATCH(TRIM(Z747),ITEM,0),3)),""))</f>
        <v>FT</v>
      </c>
      <c r="AA762" s="8" t="str">
        <f t="shared" si="45"/>
        <v>EACH</v>
      </c>
      <c r="AB762" s="8" t="str">
        <f t="shared" si="45"/>
        <v>MILE</v>
      </c>
      <c r="AC762" s="8" t="str">
        <f t="shared" si="45"/>
        <v>MILE</v>
      </c>
      <c r="AD762" s="8" t="str">
        <f t="shared" si="45"/>
        <v>MILE</v>
      </c>
      <c r="AE762" s="8" t="str">
        <f t="shared" si="45"/>
        <v>MILE</v>
      </c>
      <c r="AF762" s="8" t="str">
        <f t="shared" si="45"/>
        <v>FT</v>
      </c>
      <c r="AG762" s="8" t="str">
        <f t="shared" si="45"/>
        <v>SF</v>
      </c>
      <c r="AH762" s="8" t="str">
        <f t="shared" si="45"/>
        <v>EACH</v>
      </c>
      <c r="AI762" s="8" t="str">
        <f t="shared" si="45"/>
        <v>EACH</v>
      </c>
    </row>
    <row r="763" spans="2:35" ht="12.75" customHeight="1" x14ac:dyDescent="0.2">
      <c r="B763" s="21"/>
      <c r="D763" s="37"/>
      <c r="E763" s="37">
        <v>31</v>
      </c>
      <c r="F763" s="354">
        <v>174250</v>
      </c>
      <c r="G763" s="355"/>
      <c r="H763" s="11"/>
      <c r="I763" s="354" t="s">
        <v>115</v>
      </c>
      <c r="J763" s="356"/>
      <c r="K763" s="38" t="s">
        <v>25</v>
      </c>
      <c r="L763" s="37"/>
      <c r="M763" s="37"/>
      <c r="N763" s="37"/>
      <c r="O763" s="37"/>
      <c r="P763" s="43"/>
      <c r="Q763" s="3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>
        <f>3*1</f>
        <v>3</v>
      </c>
      <c r="AH763" s="9"/>
      <c r="AI763" s="9"/>
    </row>
    <row r="764" spans="2:35" ht="12.75" customHeight="1" x14ac:dyDescent="0.2">
      <c r="B764" s="22"/>
      <c r="D764" s="11"/>
      <c r="E764" s="11">
        <v>31</v>
      </c>
      <c r="F764" s="350">
        <v>174250</v>
      </c>
      <c r="G764" s="350"/>
      <c r="H764" s="11"/>
      <c r="I764" s="344" t="s">
        <v>116</v>
      </c>
      <c r="J764" s="345"/>
      <c r="K764" s="13" t="s">
        <v>25</v>
      </c>
      <c r="L764" s="11"/>
      <c r="M764" s="11"/>
      <c r="N764" s="11"/>
      <c r="O764" s="11"/>
      <c r="P764" s="35"/>
      <c r="Q764" s="32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>
        <f>1.5*1.5</f>
        <v>2.25</v>
      </c>
      <c r="AH764" s="11"/>
      <c r="AI764" s="11"/>
    </row>
    <row r="765" spans="2:35" ht="12.75" customHeight="1" x14ac:dyDescent="0.2">
      <c r="B765" s="22"/>
      <c r="D765" s="11" t="s">
        <v>541</v>
      </c>
      <c r="E765" s="11">
        <v>32</v>
      </c>
      <c r="F765" s="350"/>
      <c r="G765" s="350"/>
      <c r="H765" s="11"/>
      <c r="I765" s="344"/>
      <c r="J765" s="345"/>
      <c r="K765" s="13" t="s">
        <v>24</v>
      </c>
      <c r="L765" s="11"/>
      <c r="M765" s="11"/>
      <c r="N765" s="11"/>
      <c r="O765" s="11"/>
      <c r="P765" s="11"/>
      <c r="Q765" s="32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>
        <v>1</v>
      </c>
      <c r="AI765" s="11">
        <v>1</v>
      </c>
    </row>
    <row r="766" spans="2:35" ht="12.75" customHeight="1" x14ac:dyDescent="0.2">
      <c r="B766" s="22"/>
      <c r="D766" s="11" t="s">
        <v>542</v>
      </c>
      <c r="E766" s="40">
        <v>32</v>
      </c>
      <c r="F766" s="357"/>
      <c r="G766" s="358"/>
      <c r="H766" s="40"/>
      <c r="I766" s="357"/>
      <c r="J766" s="359"/>
      <c r="K766" s="41" t="s">
        <v>25</v>
      </c>
      <c r="L766" s="40"/>
      <c r="M766" s="40"/>
      <c r="N766" s="40"/>
      <c r="O766" s="40"/>
      <c r="P766" s="40"/>
      <c r="Q766" s="42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>
        <v>1</v>
      </c>
      <c r="AI766" s="11">
        <v>1</v>
      </c>
    </row>
    <row r="767" spans="2:35" ht="12.75" customHeight="1" x14ac:dyDescent="0.2">
      <c r="B767" s="22"/>
      <c r="D767" s="11" t="s">
        <v>543</v>
      </c>
      <c r="E767" s="11">
        <v>32</v>
      </c>
      <c r="F767" s="344">
        <v>174428</v>
      </c>
      <c r="G767" s="349"/>
      <c r="H767" s="11"/>
      <c r="I767" s="344" t="s">
        <v>132</v>
      </c>
      <c r="J767" s="345"/>
      <c r="K767" s="13" t="s">
        <v>24</v>
      </c>
      <c r="L767" s="11"/>
      <c r="M767" s="11"/>
      <c r="N767" s="11"/>
      <c r="O767" s="11"/>
      <c r="P767" s="11"/>
      <c r="Q767" s="32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>
        <f>3.5+7+1</f>
        <v>11.5</v>
      </c>
      <c r="AG767" s="11">
        <f>1*1</f>
        <v>1</v>
      </c>
      <c r="AH767" s="11"/>
      <c r="AI767" s="11"/>
    </row>
    <row r="768" spans="2:35" ht="12.75" customHeight="1" x14ac:dyDescent="0.2">
      <c r="B768" s="22"/>
      <c r="D768" s="11" t="s">
        <v>544</v>
      </c>
      <c r="E768" s="11">
        <v>33</v>
      </c>
      <c r="F768" s="344"/>
      <c r="G768" s="349"/>
      <c r="H768" s="11"/>
      <c r="I768" s="344"/>
      <c r="J768" s="345"/>
      <c r="K768" s="13" t="s">
        <v>24</v>
      </c>
      <c r="L768" s="11"/>
      <c r="M768" s="11"/>
      <c r="N768" s="11"/>
      <c r="O768" s="11"/>
      <c r="P768" s="11"/>
      <c r="Q768" s="32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>
        <v>1</v>
      </c>
      <c r="AI768" s="11">
        <v>1</v>
      </c>
    </row>
    <row r="769" spans="2:35" ht="12.75" customHeight="1" x14ac:dyDescent="0.2">
      <c r="B769" s="22"/>
      <c r="D769" s="11" t="s">
        <v>545</v>
      </c>
      <c r="E769" s="11">
        <v>33</v>
      </c>
      <c r="F769" s="344"/>
      <c r="G769" s="349"/>
      <c r="H769" s="11"/>
      <c r="I769" s="344"/>
      <c r="J769" s="345"/>
      <c r="K769" s="13" t="s">
        <v>25</v>
      </c>
      <c r="L769" s="11"/>
      <c r="M769" s="11"/>
      <c r="N769" s="11"/>
      <c r="O769" s="11"/>
      <c r="P769" s="11"/>
      <c r="Q769" s="32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>
        <v>1</v>
      </c>
      <c r="AI769" s="11">
        <v>1</v>
      </c>
    </row>
    <row r="770" spans="2:35" ht="12.75" customHeight="1" x14ac:dyDescent="0.2">
      <c r="B770" s="22"/>
      <c r="D770" s="11" t="s">
        <v>546</v>
      </c>
      <c r="E770" s="11">
        <v>33</v>
      </c>
      <c r="F770" s="344"/>
      <c r="G770" s="349"/>
      <c r="H770" s="11"/>
      <c r="I770" s="344"/>
      <c r="J770" s="345"/>
      <c r="K770" s="13" t="s">
        <v>25</v>
      </c>
      <c r="L770" s="11"/>
      <c r="M770" s="11"/>
      <c r="N770" s="11"/>
      <c r="O770" s="11"/>
      <c r="P770" s="11"/>
      <c r="Q770" s="32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>
        <v>2</v>
      </c>
      <c r="AI770" s="11">
        <v>1</v>
      </c>
    </row>
    <row r="771" spans="2:35" ht="12.75" customHeight="1" x14ac:dyDescent="0.2">
      <c r="B771" s="22"/>
      <c r="D771" s="11" t="s">
        <v>547</v>
      </c>
      <c r="E771" s="11">
        <v>33</v>
      </c>
      <c r="F771" s="344"/>
      <c r="G771" s="349"/>
      <c r="H771" s="11"/>
      <c r="I771" s="344"/>
      <c r="J771" s="345"/>
      <c r="K771" s="13" t="s">
        <v>24</v>
      </c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>
        <v>1</v>
      </c>
      <c r="AI771" s="11">
        <v>1</v>
      </c>
    </row>
    <row r="772" spans="2:35" ht="12.75" customHeight="1" x14ac:dyDescent="0.2">
      <c r="B772" s="22"/>
      <c r="D772" s="11" t="s">
        <v>548</v>
      </c>
      <c r="E772" s="11">
        <v>33</v>
      </c>
      <c r="F772" s="344"/>
      <c r="G772" s="349"/>
      <c r="H772" s="11"/>
      <c r="I772" s="344"/>
      <c r="J772" s="345"/>
      <c r="K772" s="13" t="s">
        <v>24</v>
      </c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>
        <v>1</v>
      </c>
      <c r="AI772" s="11">
        <v>1</v>
      </c>
    </row>
    <row r="773" spans="2:35" ht="12.75" customHeight="1" x14ac:dyDescent="0.2">
      <c r="B773" s="22"/>
      <c r="D773" s="11" t="s">
        <v>549</v>
      </c>
      <c r="E773" s="11">
        <v>33</v>
      </c>
      <c r="F773" s="344"/>
      <c r="G773" s="349"/>
      <c r="H773" s="11"/>
      <c r="I773" s="344"/>
      <c r="J773" s="345"/>
      <c r="K773" s="13" t="s">
        <v>25</v>
      </c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>
        <v>1</v>
      </c>
      <c r="AI773" s="11">
        <v>1</v>
      </c>
    </row>
    <row r="774" spans="2:35" ht="12.75" customHeight="1" x14ac:dyDescent="0.2">
      <c r="B774" s="22"/>
      <c r="D774" s="11" t="s">
        <v>550</v>
      </c>
      <c r="E774" s="11">
        <v>33</v>
      </c>
      <c r="F774" s="344"/>
      <c r="G774" s="349"/>
      <c r="H774" s="11"/>
      <c r="I774" s="344"/>
      <c r="J774" s="345"/>
      <c r="K774" s="13" t="s">
        <v>25</v>
      </c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>
        <v>1</v>
      </c>
      <c r="AI774" s="11">
        <v>1</v>
      </c>
    </row>
    <row r="775" spans="2:35" ht="12.75" customHeight="1" x14ac:dyDescent="0.2">
      <c r="B775" s="22"/>
      <c r="D775" s="11" t="s">
        <v>551</v>
      </c>
      <c r="E775" s="11">
        <v>33</v>
      </c>
      <c r="F775" s="344"/>
      <c r="G775" s="349"/>
      <c r="H775" s="11"/>
      <c r="I775" s="344"/>
      <c r="J775" s="345"/>
      <c r="K775" s="13" t="s">
        <v>25</v>
      </c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32"/>
      <c r="Y775" s="11"/>
      <c r="Z775" s="11"/>
      <c r="AA775" s="11"/>
      <c r="AB775" s="11"/>
      <c r="AC775" s="11"/>
      <c r="AD775" s="11"/>
      <c r="AE775" s="11"/>
      <c r="AF775" s="11"/>
      <c r="AG775" s="11"/>
      <c r="AH775" s="11">
        <v>2</v>
      </c>
      <c r="AI775" s="11">
        <v>2</v>
      </c>
    </row>
    <row r="776" spans="2:35" ht="12.75" customHeight="1" x14ac:dyDescent="0.2">
      <c r="B776" s="22"/>
      <c r="D776" s="11" t="s">
        <v>552</v>
      </c>
      <c r="E776" s="11">
        <v>33</v>
      </c>
      <c r="F776" s="344"/>
      <c r="G776" s="349"/>
      <c r="H776" s="11"/>
      <c r="I776" s="344"/>
      <c r="J776" s="345"/>
      <c r="K776" s="13" t="s">
        <v>24</v>
      </c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>
        <v>2</v>
      </c>
      <c r="AI776" s="11">
        <v>2</v>
      </c>
    </row>
    <row r="777" spans="2:35" ht="12.75" customHeight="1" x14ac:dyDescent="0.2">
      <c r="B777" s="22"/>
      <c r="D777" s="11" t="s">
        <v>553</v>
      </c>
      <c r="E777" s="11">
        <v>33</v>
      </c>
      <c r="F777" s="344"/>
      <c r="G777" s="349"/>
      <c r="H777" s="11"/>
      <c r="I777" s="344"/>
      <c r="J777" s="345"/>
      <c r="K777" s="13" t="s">
        <v>24</v>
      </c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>
        <v>3</v>
      </c>
      <c r="AI777" s="11">
        <v>1</v>
      </c>
    </row>
    <row r="778" spans="2:35" ht="12.75" customHeight="1" x14ac:dyDescent="0.2">
      <c r="B778" s="22"/>
      <c r="D778" s="11" t="s">
        <v>543</v>
      </c>
      <c r="E778" s="11">
        <v>33</v>
      </c>
      <c r="F778" s="344">
        <v>4615</v>
      </c>
      <c r="G778" s="349"/>
      <c r="H778" s="11"/>
      <c r="I778" s="344" t="s">
        <v>114</v>
      </c>
      <c r="J778" s="345"/>
      <c r="K778" s="13" t="s">
        <v>24</v>
      </c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>
        <f>3.5+7+4.5+1.5</f>
        <v>16.5</v>
      </c>
      <c r="AG778" s="11">
        <f>3*3</f>
        <v>9</v>
      </c>
      <c r="AH778" s="11"/>
      <c r="AI778" s="11"/>
    </row>
    <row r="779" spans="2:35" ht="12.75" customHeight="1" x14ac:dyDescent="0.2">
      <c r="B779" s="22"/>
      <c r="D779" s="11"/>
      <c r="E779" s="11">
        <v>33</v>
      </c>
      <c r="F779" s="344">
        <v>4615</v>
      </c>
      <c r="G779" s="349"/>
      <c r="H779" s="11"/>
      <c r="I779" s="344" t="s">
        <v>116</v>
      </c>
      <c r="J779" s="345"/>
      <c r="K779" s="13" t="s">
        <v>24</v>
      </c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>
        <f>1.5*1.5</f>
        <v>2.25</v>
      </c>
      <c r="AH779" s="11"/>
      <c r="AI779" s="11"/>
    </row>
    <row r="780" spans="2:35" ht="12.75" customHeight="1" x14ac:dyDescent="0.2">
      <c r="B780" s="22"/>
      <c r="D780" s="11" t="s">
        <v>554</v>
      </c>
      <c r="E780" s="11">
        <v>33</v>
      </c>
      <c r="F780" s="344">
        <v>4616</v>
      </c>
      <c r="G780" s="349"/>
      <c r="H780" s="11"/>
      <c r="I780" s="344" t="s">
        <v>114</v>
      </c>
      <c r="J780" s="345"/>
      <c r="K780" s="13" t="s">
        <v>25</v>
      </c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>
        <f>3.5+7+4.5+1.5</f>
        <v>16.5</v>
      </c>
      <c r="AG780" s="11">
        <f>3*3</f>
        <v>9</v>
      </c>
      <c r="AH780" s="11"/>
      <c r="AI780" s="11"/>
    </row>
    <row r="781" spans="2:35" ht="12.75" customHeight="1" x14ac:dyDescent="0.2">
      <c r="B781" s="22"/>
      <c r="D781" s="11"/>
      <c r="E781" s="11">
        <v>33</v>
      </c>
      <c r="F781" s="344">
        <v>4616</v>
      </c>
      <c r="G781" s="349"/>
      <c r="H781" s="11"/>
      <c r="I781" s="344" t="s">
        <v>116</v>
      </c>
      <c r="J781" s="345"/>
      <c r="K781" s="13" t="s">
        <v>25</v>
      </c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>
        <f>1.5*1.5</f>
        <v>2.25</v>
      </c>
      <c r="AH781" s="11"/>
      <c r="AI781" s="11"/>
    </row>
    <row r="782" spans="2:35" ht="12.75" customHeight="1" x14ac:dyDescent="0.2">
      <c r="B782" s="22"/>
      <c r="D782" s="11" t="s">
        <v>555</v>
      </c>
      <c r="E782" s="11">
        <v>33</v>
      </c>
      <c r="F782" s="344">
        <v>4982</v>
      </c>
      <c r="G782" s="349"/>
      <c r="H782" s="11"/>
      <c r="I782" s="344" t="s">
        <v>117</v>
      </c>
      <c r="J782" s="345"/>
      <c r="K782" s="13" t="s">
        <v>24</v>
      </c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>
        <f>3.5+7+4.5</f>
        <v>15</v>
      </c>
      <c r="AG782" s="11">
        <f>3*3</f>
        <v>9</v>
      </c>
      <c r="AH782" s="11"/>
      <c r="AI782" s="11"/>
    </row>
    <row r="783" spans="2:35" ht="12.75" customHeight="1" x14ac:dyDescent="0.2">
      <c r="B783" s="22"/>
      <c r="D783" s="11" t="s">
        <v>556</v>
      </c>
      <c r="E783" s="11">
        <v>33</v>
      </c>
      <c r="F783" s="344">
        <v>4983</v>
      </c>
      <c r="G783" s="349"/>
      <c r="H783" s="11"/>
      <c r="I783" s="344" t="s">
        <v>117</v>
      </c>
      <c r="J783" s="345"/>
      <c r="K783" s="13" t="s">
        <v>25</v>
      </c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>
        <f>3.5+7+4.5</f>
        <v>15</v>
      </c>
      <c r="AG783" s="11">
        <f>3*3</f>
        <v>9</v>
      </c>
      <c r="AH783" s="11"/>
      <c r="AI783" s="11"/>
    </row>
    <row r="784" spans="2:35" ht="12.75" customHeight="1" x14ac:dyDescent="0.2">
      <c r="B784" s="22"/>
      <c r="D784" s="11" t="s">
        <v>557</v>
      </c>
      <c r="E784" s="11">
        <v>33</v>
      </c>
      <c r="F784" s="344">
        <v>5040</v>
      </c>
      <c r="G784" s="349"/>
      <c r="H784" s="11"/>
      <c r="I784" s="344" t="s">
        <v>139</v>
      </c>
      <c r="J784" s="345"/>
      <c r="K784" s="13" t="s">
        <v>25</v>
      </c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>
        <f>3.5+7+3+2.5</f>
        <v>16</v>
      </c>
      <c r="AG784" s="11">
        <f>3.14*1.5*1.5</f>
        <v>7.0649999999999995</v>
      </c>
      <c r="AH784" s="11"/>
      <c r="AI784" s="11"/>
    </row>
    <row r="785" spans="2:35" ht="12.75" customHeight="1" x14ac:dyDescent="0.2">
      <c r="B785" s="22"/>
      <c r="D785" s="11"/>
      <c r="E785" s="11">
        <v>33</v>
      </c>
      <c r="F785" s="344">
        <v>5040</v>
      </c>
      <c r="G785" s="349"/>
      <c r="H785" s="11"/>
      <c r="I785" s="344" t="s">
        <v>144</v>
      </c>
      <c r="J785" s="345"/>
      <c r="K785" s="13" t="s">
        <v>25</v>
      </c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>
        <f>2*2.5</f>
        <v>5</v>
      </c>
      <c r="AH785" s="11"/>
      <c r="AI785" s="11"/>
    </row>
    <row r="786" spans="2:35" ht="12.75" customHeight="1" x14ac:dyDescent="0.2">
      <c r="B786" s="22"/>
      <c r="D786" s="11" t="s">
        <v>558</v>
      </c>
      <c r="E786" s="11">
        <v>33</v>
      </c>
      <c r="F786" s="344">
        <v>5078</v>
      </c>
      <c r="G786" s="349"/>
      <c r="H786" s="11"/>
      <c r="I786" s="344" t="s">
        <v>138</v>
      </c>
      <c r="J786" s="345"/>
      <c r="K786" s="13" t="s">
        <v>24</v>
      </c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>
        <f>3.5+7+2.5+2.5</f>
        <v>15.5</v>
      </c>
      <c r="AG786" s="11">
        <f>1.5*2.5</f>
        <v>3.75</v>
      </c>
      <c r="AH786" s="11"/>
      <c r="AI786" s="11"/>
    </row>
    <row r="787" spans="2:35" ht="12.75" customHeight="1" x14ac:dyDescent="0.2">
      <c r="B787" s="22"/>
      <c r="D787" s="11"/>
      <c r="E787" s="11">
        <v>33</v>
      </c>
      <c r="F787" s="344">
        <v>5078</v>
      </c>
      <c r="G787" s="349"/>
      <c r="H787" s="11"/>
      <c r="I787" s="344" t="s">
        <v>119</v>
      </c>
      <c r="J787" s="345"/>
      <c r="K787" s="13" t="s">
        <v>24</v>
      </c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32"/>
      <c r="Y787" s="11"/>
      <c r="Z787" s="11"/>
      <c r="AA787" s="11"/>
      <c r="AB787" s="11"/>
      <c r="AC787" s="11"/>
      <c r="AD787" s="11"/>
      <c r="AE787" s="11"/>
      <c r="AF787" s="11"/>
      <c r="AG787" s="11">
        <f>1.5*1.5</f>
        <v>2.25</v>
      </c>
      <c r="AH787" s="11"/>
      <c r="AI787" s="11"/>
    </row>
    <row r="788" spans="2:35" ht="12.75" customHeight="1" x14ac:dyDescent="0.2">
      <c r="B788" s="22"/>
      <c r="D788" s="11" t="s">
        <v>559</v>
      </c>
      <c r="E788" s="11">
        <v>34</v>
      </c>
      <c r="F788" s="344"/>
      <c r="G788" s="349"/>
      <c r="H788" s="11"/>
      <c r="I788" s="344"/>
      <c r="J788" s="345"/>
      <c r="K788" s="13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32"/>
      <c r="Y788" s="11"/>
      <c r="Z788" s="11"/>
      <c r="AA788" s="11"/>
      <c r="AB788" s="11"/>
      <c r="AC788" s="11"/>
      <c r="AD788" s="11"/>
      <c r="AE788" s="11"/>
      <c r="AF788" s="11"/>
      <c r="AG788" s="11"/>
      <c r="AH788" s="11">
        <v>1</v>
      </c>
      <c r="AI788" s="11">
        <v>1</v>
      </c>
    </row>
    <row r="789" spans="2:35" ht="12.75" customHeight="1" x14ac:dyDescent="0.2">
      <c r="B789" s="22"/>
      <c r="D789" s="11" t="s">
        <v>560</v>
      </c>
      <c r="E789" s="11">
        <v>34</v>
      </c>
      <c r="F789" s="344"/>
      <c r="G789" s="349"/>
      <c r="H789" s="11"/>
      <c r="I789" s="344"/>
      <c r="J789" s="345"/>
      <c r="K789" s="13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>
        <v>1</v>
      </c>
      <c r="AI789" s="11">
        <v>1</v>
      </c>
    </row>
    <row r="790" spans="2:35" ht="12.75" customHeight="1" x14ac:dyDescent="0.2">
      <c r="B790" s="22"/>
      <c r="D790" s="11" t="s">
        <v>561</v>
      </c>
      <c r="E790" s="11">
        <v>34</v>
      </c>
      <c r="F790" s="344">
        <v>1499</v>
      </c>
      <c r="G790" s="349"/>
      <c r="H790" s="11"/>
      <c r="I790" s="344" t="s">
        <v>114</v>
      </c>
      <c r="J790" s="345"/>
      <c r="K790" s="13" t="s">
        <v>24</v>
      </c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>
        <f>3.5+7+1.5+4.5</f>
        <v>16.5</v>
      </c>
      <c r="AG790" s="11">
        <f>3*3</f>
        <v>9</v>
      </c>
      <c r="AH790" s="11"/>
      <c r="AI790" s="11"/>
    </row>
    <row r="791" spans="2:35" ht="12.75" customHeight="1" x14ac:dyDescent="0.2">
      <c r="B791" s="22"/>
      <c r="D791" s="11"/>
      <c r="E791" s="11">
        <v>34</v>
      </c>
      <c r="F791" s="344">
        <v>1499</v>
      </c>
      <c r="G791" s="349"/>
      <c r="H791" s="11"/>
      <c r="I791" s="344" t="s">
        <v>116</v>
      </c>
      <c r="J791" s="345"/>
      <c r="K791" s="13" t="s">
        <v>24</v>
      </c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>
        <f>1.5*1.5</f>
        <v>2.25</v>
      </c>
      <c r="AH791" s="11"/>
      <c r="AI791" s="11"/>
    </row>
    <row r="792" spans="2:35" ht="12.75" customHeight="1" x14ac:dyDescent="0.2">
      <c r="B792" s="22"/>
      <c r="D792" s="11" t="s">
        <v>562</v>
      </c>
      <c r="E792" s="11">
        <v>34</v>
      </c>
      <c r="F792" s="344">
        <v>1501</v>
      </c>
      <c r="G792" s="349"/>
      <c r="H792" s="11"/>
      <c r="I792" s="344" t="s">
        <v>145</v>
      </c>
      <c r="J792" s="345"/>
      <c r="K792" s="13" t="s">
        <v>25</v>
      </c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>
        <f>3.5+7+1.5+4.5</f>
        <v>16.5</v>
      </c>
      <c r="AG792" s="11">
        <f>3*3</f>
        <v>9</v>
      </c>
      <c r="AH792" s="11"/>
      <c r="AI792" s="11"/>
    </row>
    <row r="793" spans="2:35" ht="12.75" customHeight="1" x14ac:dyDescent="0.2">
      <c r="B793" s="22"/>
      <c r="D793" s="11"/>
      <c r="E793" s="11">
        <v>34</v>
      </c>
      <c r="F793" s="344">
        <v>1501</v>
      </c>
      <c r="G793" s="349"/>
      <c r="H793" s="11"/>
      <c r="I793" s="344" t="s">
        <v>146</v>
      </c>
      <c r="J793" s="345"/>
      <c r="K793" s="13" t="s">
        <v>25</v>
      </c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>
        <f>1.5*1.5</f>
        <v>2.25</v>
      </c>
      <c r="AH793" s="11"/>
      <c r="AI793" s="11"/>
    </row>
    <row r="794" spans="2:35" ht="12.75" customHeight="1" x14ac:dyDescent="0.2">
      <c r="B794" s="22"/>
      <c r="D794" s="11" t="s">
        <v>563</v>
      </c>
      <c r="E794" s="11">
        <v>34</v>
      </c>
      <c r="F794" s="344">
        <v>160001</v>
      </c>
      <c r="G794" s="349"/>
      <c r="H794" s="11"/>
      <c r="I794" s="344" t="s">
        <v>117</v>
      </c>
      <c r="J794" s="345"/>
      <c r="K794" s="13" t="s">
        <v>24</v>
      </c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>
        <f>3.5+7+4.5</f>
        <v>15</v>
      </c>
      <c r="AG794" s="11">
        <f>3*3</f>
        <v>9</v>
      </c>
      <c r="AH794" s="11"/>
      <c r="AI794" s="11"/>
    </row>
    <row r="795" spans="2:35" ht="12.75" customHeight="1" x14ac:dyDescent="0.2">
      <c r="B795" s="22"/>
      <c r="D795" s="11" t="s">
        <v>567</v>
      </c>
      <c r="E795" s="11">
        <v>34</v>
      </c>
      <c r="F795" s="344">
        <v>160001</v>
      </c>
      <c r="G795" s="349"/>
      <c r="H795" s="11"/>
      <c r="I795" s="344" t="s">
        <v>117</v>
      </c>
      <c r="J795" s="345"/>
      <c r="K795" s="13" t="s">
        <v>25</v>
      </c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>
        <f>3.5+7+4.5</f>
        <v>15</v>
      </c>
      <c r="AG795" s="11">
        <f>3*3</f>
        <v>9</v>
      </c>
      <c r="AH795" s="11"/>
      <c r="AI795" s="11"/>
    </row>
    <row r="796" spans="2:35" ht="12.75" customHeight="1" x14ac:dyDescent="0.2">
      <c r="B796" s="22"/>
      <c r="D796" s="11"/>
      <c r="E796" s="11" t="s">
        <v>147</v>
      </c>
      <c r="F796" s="344"/>
      <c r="G796" s="349"/>
      <c r="H796" s="11"/>
      <c r="I796" s="12"/>
      <c r="J796" s="36"/>
      <c r="K796" s="13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2:35" ht="12.75" customHeight="1" x14ac:dyDescent="0.2">
      <c r="B797" s="22"/>
      <c r="D797" s="11"/>
      <c r="E797" s="11"/>
      <c r="F797" s="344"/>
      <c r="G797" s="349"/>
      <c r="H797" s="11"/>
      <c r="I797" s="12"/>
      <c r="J797" s="36"/>
      <c r="K797" s="13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2:35" ht="12.75" customHeight="1" x14ac:dyDescent="0.2">
      <c r="B798" s="22"/>
      <c r="D798" s="11"/>
      <c r="E798" s="11"/>
      <c r="F798" s="344"/>
      <c r="G798" s="349"/>
      <c r="H798" s="11"/>
      <c r="I798" s="12"/>
      <c r="J798" s="36"/>
      <c r="K798" s="13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2:35" ht="12.75" customHeight="1" x14ac:dyDescent="0.2">
      <c r="B799" s="22"/>
      <c r="D799" s="11"/>
      <c r="E799" s="11"/>
      <c r="F799" s="344"/>
      <c r="G799" s="349"/>
      <c r="H799" s="11"/>
      <c r="I799" s="12"/>
      <c r="J799" s="36"/>
      <c r="K799" s="13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2:35" ht="12.75" customHeight="1" x14ac:dyDescent="0.2">
      <c r="B800" s="22"/>
      <c r="D800" s="11"/>
      <c r="E800" s="11"/>
      <c r="F800" s="344"/>
      <c r="G800" s="349"/>
      <c r="H800" s="11"/>
      <c r="I800" s="344"/>
      <c r="J800" s="345"/>
      <c r="K800" s="13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2:35" ht="12.75" customHeight="1" x14ac:dyDescent="0.2">
      <c r="B801" s="22"/>
      <c r="D801" s="11"/>
      <c r="E801" s="11"/>
      <c r="F801" s="344"/>
      <c r="G801" s="349"/>
      <c r="H801" s="11"/>
      <c r="I801" s="344"/>
      <c r="J801" s="345"/>
      <c r="K801" s="13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2:35" ht="12.75" customHeight="1" x14ac:dyDescent="0.2">
      <c r="B802" s="22"/>
      <c r="D802" s="11"/>
      <c r="E802" s="11"/>
      <c r="F802" s="344"/>
      <c r="G802" s="349"/>
      <c r="H802" s="11"/>
      <c r="I802" s="344"/>
      <c r="J802" s="345"/>
      <c r="K802" s="13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2:35" ht="12.75" customHeight="1" x14ac:dyDescent="0.2">
      <c r="B803" s="22"/>
      <c r="D803" s="11"/>
      <c r="E803" s="11"/>
      <c r="F803" s="344"/>
      <c r="G803" s="349"/>
      <c r="H803" s="11"/>
      <c r="I803" s="344"/>
      <c r="J803" s="345"/>
      <c r="K803" s="13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2:35" ht="12.75" customHeight="1" x14ac:dyDescent="0.2">
      <c r="B804" s="22"/>
      <c r="D804" s="11"/>
      <c r="E804" s="11"/>
      <c r="F804" s="344"/>
      <c r="G804" s="349"/>
      <c r="H804" s="11"/>
      <c r="I804" s="344"/>
      <c r="J804" s="345"/>
      <c r="K804" s="13"/>
      <c r="L804" s="11"/>
      <c r="M804" s="11"/>
      <c r="N804" s="35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2:35" ht="12.75" customHeight="1" x14ac:dyDescent="0.2">
      <c r="B805" s="22"/>
      <c r="D805" s="11"/>
      <c r="E805" s="11"/>
      <c r="F805" s="344"/>
      <c r="G805" s="349"/>
      <c r="H805" s="11"/>
      <c r="I805" s="344"/>
      <c r="J805" s="345"/>
      <c r="K805" s="13"/>
      <c r="L805" s="11"/>
      <c r="M805" s="11"/>
      <c r="N805" s="35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2:35" ht="12.75" customHeight="1" x14ac:dyDescent="0.2">
      <c r="B806" s="22"/>
      <c r="D806" s="11"/>
      <c r="E806" s="11"/>
      <c r="F806" s="344"/>
      <c r="G806" s="349"/>
      <c r="H806" s="11"/>
      <c r="I806" s="344"/>
      <c r="J806" s="345"/>
      <c r="K806" s="13"/>
      <c r="L806" s="11"/>
      <c r="M806" s="11"/>
      <c r="N806" s="11"/>
      <c r="O806" s="35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2:35" ht="12.75" customHeight="1" x14ac:dyDescent="0.2">
      <c r="B807" s="22"/>
      <c r="D807" s="11"/>
      <c r="E807" s="11"/>
      <c r="F807" s="344"/>
      <c r="G807" s="349"/>
      <c r="H807" s="11"/>
      <c r="I807" s="344"/>
      <c r="J807" s="345"/>
      <c r="K807" s="13"/>
      <c r="L807" s="11"/>
      <c r="M807" s="11"/>
      <c r="N807" s="11"/>
      <c r="O807" s="35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2:35" ht="12.75" customHeight="1" x14ac:dyDescent="0.2">
      <c r="B808" s="22"/>
      <c r="D808" s="11"/>
      <c r="E808" s="11"/>
      <c r="F808" s="350"/>
      <c r="G808" s="350"/>
      <c r="H808" s="13"/>
      <c r="I808" s="344"/>
      <c r="J808" s="345"/>
      <c r="K808" s="13"/>
      <c r="L808" s="11"/>
      <c r="M808" s="11"/>
      <c r="N808" s="11"/>
      <c r="O808" s="11"/>
      <c r="P808" s="35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2:35" ht="12.75" customHeight="1" x14ac:dyDescent="0.2">
      <c r="B809" s="22"/>
      <c r="D809" s="11"/>
      <c r="E809" s="11"/>
      <c r="F809" s="350"/>
      <c r="G809" s="350"/>
      <c r="H809" s="13"/>
      <c r="I809" s="344"/>
      <c r="J809" s="345"/>
      <c r="K809" s="13"/>
      <c r="L809" s="11"/>
      <c r="M809" s="11"/>
      <c r="N809" s="11"/>
      <c r="O809" s="11"/>
      <c r="P809" s="35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2:35" ht="12.75" customHeight="1" x14ac:dyDescent="0.2">
      <c r="B810" s="22"/>
      <c r="D810" s="11"/>
      <c r="E810" s="11"/>
      <c r="F810" s="350"/>
      <c r="G810" s="350"/>
      <c r="H810" s="13"/>
      <c r="I810" s="344"/>
      <c r="J810" s="345"/>
      <c r="K810" s="13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2:35" ht="12.75" customHeight="1" x14ac:dyDescent="0.2">
      <c r="B811" s="22"/>
      <c r="D811" s="11"/>
      <c r="E811" s="11"/>
      <c r="F811" s="344"/>
      <c r="G811" s="349"/>
      <c r="H811" s="11"/>
      <c r="I811" s="344"/>
      <c r="J811" s="345"/>
      <c r="K811" s="13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2:35" ht="12.75" customHeight="1" x14ac:dyDescent="0.2">
      <c r="B812" s="22"/>
      <c r="D812" s="11"/>
      <c r="E812" s="11"/>
      <c r="F812" s="344"/>
      <c r="G812" s="349"/>
      <c r="H812" s="11"/>
      <c r="I812" s="344"/>
      <c r="J812" s="345"/>
      <c r="K812" s="13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2:35" ht="12.75" customHeight="1" x14ac:dyDescent="0.2">
      <c r="B813" s="22"/>
      <c r="D813" s="11"/>
      <c r="E813" s="11"/>
      <c r="F813" s="344"/>
      <c r="G813" s="349"/>
      <c r="H813" s="11"/>
      <c r="I813" s="344"/>
      <c r="J813" s="345"/>
      <c r="K813" s="13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2:35" ht="12.75" customHeight="1" x14ac:dyDescent="0.2">
      <c r="B814" s="22"/>
      <c r="D814" s="11"/>
      <c r="E814" s="11"/>
      <c r="F814" s="344"/>
      <c r="G814" s="349"/>
      <c r="H814" s="11"/>
      <c r="I814" s="344"/>
      <c r="J814" s="345"/>
      <c r="K814" s="13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2:35" ht="12.75" customHeight="1" x14ac:dyDescent="0.2">
      <c r="B815" s="22"/>
      <c r="D815" s="11"/>
      <c r="E815" s="11"/>
      <c r="F815" s="344"/>
      <c r="G815" s="349"/>
      <c r="H815" s="11"/>
      <c r="I815" s="344"/>
      <c r="J815" s="345"/>
      <c r="K815" s="13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2:35" ht="12.75" customHeight="1" x14ac:dyDescent="0.2">
      <c r="B816" s="22"/>
      <c r="D816" s="11"/>
      <c r="E816" s="11"/>
      <c r="F816" s="344"/>
      <c r="G816" s="349"/>
      <c r="H816" s="11"/>
      <c r="I816" s="344"/>
      <c r="J816" s="345"/>
      <c r="K816" s="13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2:35" ht="12.75" customHeight="1" x14ac:dyDescent="0.2">
      <c r="B817" s="22"/>
      <c r="D817" s="11"/>
      <c r="E817" s="11"/>
      <c r="F817" s="344"/>
      <c r="G817" s="349"/>
      <c r="H817" s="11"/>
      <c r="I817" s="344"/>
      <c r="J817" s="345"/>
      <c r="K817" s="13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2:35" ht="12.75" customHeight="1" x14ac:dyDescent="0.2">
      <c r="B818" s="22"/>
      <c r="D818" s="11"/>
      <c r="E818" s="11"/>
      <c r="F818" s="344"/>
      <c r="G818" s="349"/>
      <c r="H818" s="11"/>
      <c r="I818" s="344"/>
      <c r="J818" s="345"/>
      <c r="K818" s="13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2:35" ht="12.75" customHeight="1" x14ac:dyDescent="0.2">
      <c r="B819" s="22"/>
      <c r="D819" s="11"/>
      <c r="E819" s="11"/>
      <c r="F819" s="344"/>
      <c r="G819" s="349"/>
      <c r="H819" s="11"/>
      <c r="I819" s="344"/>
      <c r="J819" s="345"/>
      <c r="K819" s="13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2:35" ht="12.75" customHeight="1" x14ac:dyDescent="0.2">
      <c r="B820" s="22"/>
      <c r="D820" s="11"/>
      <c r="E820" s="11"/>
      <c r="F820" s="344"/>
      <c r="G820" s="349"/>
      <c r="H820" s="11"/>
      <c r="I820" s="344"/>
      <c r="J820" s="345"/>
      <c r="K820" s="13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2:35" ht="12.75" customHeight="1" x14ac:dyDescent="0.2">
      <c r="B821" s="22"/>
      <c r="D821" s="11"/>
      <c r="E821" s="11"/>
      <c r="F821" s="344"/>
      <c r="G821" s="349"/>
      <c r="H821" s="11"/>
      <c r="I821" s="344"/>
      <c r="J821" s="345"/>
      <c r="K821" s="13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2:35" ht="12.75" customHeight="1" thickBot="1" x14ac:dyDescent="0.25">
      <c r="B822" s="23"/>
      <c r="D822" s="11"/>
      <c r="E822" s="11"/>
      <c r="F822" s="344"/>
      <c r="G822" s="349"/>
      <c r="H822" s="11"/>
      <c r="I822" s="344"/>
      <c r="J822" s="345"/>
      <c r="K822" s="13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2:35" ht="12.75" customHeight="1" x14ac:dyDescent="0.2">
      <c r="B823" s="5" t="s">
        <v>11</v>
      </c>
      <c r="D823" s="351" t="s">
        <v>2</v>
      </c>
      <c r="E823" s="352"/>
      <c r="F823" s="352"/>
      <c r="G823" s="352"/>
      <c r="H823" s="352"/>
      <c r="I823" s="352"/>
      <c r="J823" s="353"/>
      <c r="K823" s="14" t="str">
        <f>IF(K747="","",IF(OR(K762="", K762="LS", K762="LUMP"),IF(SUM(COUNTIF(K763:K822,"LS")+COUNTIF(K763:K822,"LUMP"))&gt;0,"LS",""),IF(SUM(K763:K822)&gt;0,ROUNDUP(SUM(K763:K822),0),"")))</f>
        <v/>
      </c>
      <c r="L823" s="14" t="str">
        <f t="shared" ref="L823:AI823" si="46">IF(L747="","",IF(OR(L762="", L762="LS", L762="LUMP"),IF(SUM(COUNTIF(L763:L822,"LS")+COUNTIF(L763:L822,"LUMP"))&gt;0,"LS",""),IF(SUM(L763:L822)&gt;0,ROUNDUP(SUM(L763:L822),0),"")))</f>
        <v/>
      </c>
      <c r="M823" s="14" t="str">
        <f t="shared" si="46"/>
        <v/>
      </c>
      <c r="N823" s="14" t="str">
        <f t="shared" si="46"/>
        <v/>
      </c>
      <c r="O823" s="14" t="str">
        <f t="shared" si="46"/>
        <v/>
      </c>
      <c r="P823" s="14" t="str">
        <f t="shared" si="46"/>
        <v/>
      </c>
      <c r="Q823" s="14" t="str">
        <f t="shared" si="46"/>
        <v/>
      </c>
      <c r="R823" s="14" t="str">
        <f t="shared" si="46"/>
        <v/>
      </c>
      <c r="S823" s="14" t="str">
        <f t="shared" si="46"/>
        <v/>
      </c>
      <c r="T823" s="14" t="str">
        <f t="shared" si="46"/>
        <v/>
      </c>
      <c r="U823" s="14" t="str">
        <f t="shared" si="46"/>
        <v/>
      </c>
      <c r="V823" s="14" t="str">
        <f t="shared" si="46"/>
        <v/>
      </c>
      <c r="W823" s="14" t="str">
        <f t="shared" si="46"/>
        <v/>
      </c>
      <c r="X823" s="14" t="str">
        <f t="shared" si="46"/>
        <v/>
      </c>
      <c r="Y823" s="14" t="str">
        <f t="shared" si="46"/>
        <v/>
      </c>
      <c r="Z823" s="14" t="str">
        <f t="shared" si="46"/>
        <v/>
      </c>
      <c r="AA823" s="14" t="str">
        <f t="shared" si="46"/>
        <v/>
      </c>
      <c r="AB823" s="14" t="str">
        <f t="shared" si="46"/>
        <v/>
      </c>
      <c r="AC823" s="14" t="str">
        <f t="shared" si="46"/>
        <v/>
      </c>
      <c r="AD823" s="14" t="str">
        <f t="shared" si="46"/>
        <v/>
      </c>
      <c r="AE823" s="14" t="str">
        <f t="shared" si="46"/>
        <v/>
      </c>
      <c r="AF823" s="14">
        <f t="shared" si="46"/>
        <v>169</v>
      </c>
      <c r="AG823" s="14">
        <f t="shared" si="46"/>
        <v>106</v>
      </c>
      <c r="AH823" s="14">
        <f t="shared" si="46"/>
        <v>19</v>
      </c>
      <c r="AI823" s="14">
        <f t="shared" si="46"/>
        <v>16</v>
      </c>
    </row>
  </sheetData>
  <mergeCells count="1582">
    <mergeCell ref="F108:G108"/>
    <mergeCell ref="I108:J108"/>
    <mergeCell ref="F131:G131"/>
    <mergeCell ref="I131:J131"/>
    <mergeCell ref="F135:G135"/>
    <mergeCell ref="I135:J135"/>
    <mergeCell ref="F137:G137"/>
    <mergeCell ref="I137:J137"/>
    <mergeCell ref="F141:G141"/>
    <mergeCell ref="I141:J141"/>
    <mergeCell ref="F145:G145"/>
    <mergeCell ref="I145:J145"/>
    <mergeCell ref="I109:J109"/>
    <mergeCell ref="F109:G109"/>
    <mergeCell ref="F415:G415"/>
    <mergeCell ref="I415:J415"/>
    <mergeCell ref="F417:G417"/>
    <mergeCell ref="I417:J417"/>
    <mergeCell ref="D334:J334"/>
    <mergeCell ref="F110:G110"/>
    <mergeCell ref="I110:J110"/>
    <mergeCell ref="F130:G130"/>
    <mergeCell ref="I130:J130"/>
    <mergeCell ref="F132:G132"/>
    <mergeCell ref="I132:J132"/>
    <mergeCell ref="F133:G133"/>
    <mergeCell ref="I133:J133"/>
    <mergeCell ref="D111:K111"/>
    <mergeCell ref="F136:G136"/>
    <mergeCell ref="I136:J136"/>
    <mergeCell ref="F151:G151"/>
    <mergeCell ref="F153:G153"/>
    <mergeCell ref="F29:G29"/>
    <mergeCell ref="I29:J29"/>
    <mergeCell ref="F31:G31"/>
    <mergeCell ref="I31:J31"/>
    <mergeCell ref="F38:G38"/>
    <mergeCell ref="I38:J38"/>
    <mergeCell ref="F40:G40"/>
    <mergeCell ref="I40:J40"/>
    <mergeCell ref="F46:G46"/>
    <mergeCell ref="I46:J46"/>
    <mergeCell ref="F48:G48"/>
    <mergeCell ref="I48:J48"/>
    <mergeCell ref="F52:G52"/>
    <mergeCell ref="I52:J52"/>
    <mergeCell ref="F54:G54"/>
    <mergeCell ref="I54:J54"/>
    <mergeCell ref="F64:G64"/>
    <mergeCell ref="I64:J64"/>
    <mergeCell ref="I49:J49"/>
    <mergeCell ref="I50:J50"/>
    <mergeCell ref="I51:J51"/>
    <mergeCell ref="I53:J53"/>
    <mergeCell ref="I55:J55"/>
    <mergeCell ref="I58:J58"/>
    <mergeCell ref="I59:J59"/>
    <mergeCell ref="I60:J60"/>
    <mergeCell ref="I61:J61"/>
    <mergeCell ref="I62:J62"/>
    <mergeCell ref="I63:J63"/>
    <mergeCell ref="I41:J41"/>
    <mergeCell ref="F44:G44"/>
    <mergeCell ref="I37:J37"/>
    <mergeCell ref="F569:G569"/>
    <mergeCell ref="I569:J569"/>
    <mergeCell ref="F101:G101"/>
    <mergeCell ref="I88:J88"/>
    <mergeCell ref="I90:J90"/>
    <mergeCell ref="F68:G68"/>
    <mergeCell ref="F69:G69"/>
    <mergeCell ref="F95:G95"/>
    <mergeCell ref="F96:G96"/>
    <mergeCell ref="F100:G100"/>
    <mergeCell ref="F70:G70"/>
    <mergeCell ref="F72:G72"/>
    <mergeCell ref="F76:G76"/>
    <mergeCell ref="F77:G77"/>
    <mergeCell ref="F78:G78"/>
    <mergeCell ref="F244:G244"/>
    <mergeCell ref="F71:G71"/>
    <mergeCell ref="I71:J71"/>
    <mergeCell ref="F73:G73"/>
    <mergeCell ref="I73:J73"/>
    <mergeCell ref="F75:G75"/>
    <mergeCell ref="I75:J75"/>
    <mergeCell ref="F79:G79"/>
    <mergeCell ref="I79:J79"/>
    <mergeCell ref="F81:G81"/>
    <mergeCell ref="I81:J81"/>
    <mergeCell ref="F85:G85"/>
    <mergeCell ref="I85:J85"/>
    <mergeCell ref="F243:G243"/>
    <mergeCell ref="F102:G102"/>
    <mergeCell ref="I92:J92"/>
    <mergeCell ref="I94:J94"/>
    <mergeCell ref="F98:G98"/>
    <mergeCell ref="I98:J98"/>
    <mergeCell ref="F56:G56"/>
    <mergeCell ref="I102:J102"/>
    <mergeCell ref="I103:J103"/>
    <mergeCell ref="I78:J78"/>
    <mergeCell ref="I82:J82"/>
    <mergeCell ref="I83:J83"/>
    <mergeCell ref="I84:J84"/>
    <mergeCell ref="I86:J86"/>
    <mergeCell ref="I87:J87"/>
    <mergeCell ref="F103:G103"/>
    <mergeCell ref="I105:J105"/>
    <mergeCell ref="I106:J106"/>
    <mergeCell ref="I107:J107"/>
    <mergeCell ref="F87:G87"/>
    <mergeCell ref="F88:G88"/>
    <mergeCell ref="F90:G90"/>
    <mergeCell ref="F91:G91"/>
    <mergeCell ref="F92:G92"/>
    <mergeCell ref="F94:G94"/>
    <mergeCell ref="F82:G82"/>
    <mergeCell ref="F83:G83"/>
    <mergeCell ref="F89:G89"/>
    <mergeCell ref="I89:J89"/>
    <mergeCell ref="F93:G93"/>
    <mergeCell ref="F107:G107"/>
    <mergeCell ref="I97:J97"/>
    <mergeCell ref="F99:G99"/>
    <mergeCell ref="I99:J99"/>
    <mergeCell ref="F104:G104"/>
    <mergeCell ref="I104:J104"/>
    <mergeCell ref="F252:G252"/>
    <mergeCell ref="I252:J252"/>
    <mergeCell ref="F253:G253"/>
    <mergeCell ref="B10:B23"/>
    <mergeCell ref="B116:B129"/>
    <mergeCell ref="D113:AI113"/>
    <mergeCell ref="D114:J114"/>
    <mergeCell ref="D115:J115"/>
    <mergeCell ref="D116:D129"/>
    <mergeCell ref="W11:W22"/>
    <mergeCell ref="X11:X22"/>
    <mergeCell ref="T11:T22"/>
    <mergeCell ref="U11:U22"/>
    <mergeCell ref="AI11:AI22"/>
    <mergeCell ref="L11:L22"/>
    <mergeCell ref="M11:M22"/>
    <mergeCell ref="N11:N22"/>
    <mergeCell ref="E10:E23"/>
    <mergeCell ref="F10:J23"/>
    <mergeCell ref="O11:O22"/>
    <mergeCell ref="I42:J42"/>
    <mergeCell ref="AG117:AG128"/>
    <mergeCell ref="AH117:AH128"/>
    <mergeCell ref="I43:J43"/>
    <mergeCell ref="I44:J44"/>
    <mergeCell ref="I45:J45"/>
    <mergeCell ref="F30:G30"/>
    <mergeCell ref="I30:J30"/>
    <mergeCell ref="F74:G74"/>
    <mergeCell ref="I74:J74"/>
    <mergeCell ref="F80:G80"/>
    <mergeCell ref="I80:J80"/>
    <mergeCell ref="D331:J331"/>
    <mergeCell ref="D333:AI333"/>
    <mergeCell ref="I266:J266"/>
    <mergeCell ref="F268:G268"/>
    <mergeCell ref="F266:G266"/>
    <mergeCell ref="F274:G274"/>
    <mergeCell ref="AI117:AI128"/>
    <mergeCell ref="I27:J27"/>
    <mergeCell ref="I28:J28"/>
    <mergeCell ref="B227:B240"/>
    <mergeCell ref="B336:B349"/>
    <mergeCell ref="D420:J420"/>
    <mergeCell ref="AA337:AA348"/>
    <mergeCell ref="AF337:AF348"/>
    <mergeCell ref="AG337:AG348"/>
    <mergeCell ref="W337:W348"/>
    <mergeCell ref="X337:X348"/>
    <mergeCell ref="Y337:Y348"/>
    <mergeCell ref="Z337:Z348"/>
    <mergeCell ref="S337:S348"/>
    <mergeCell ref="T337:T348"/>
    <mergeCell ref="U337:U348"/>
    <mergeCell ref="V337:V348"/>
    <mergeCell ref="O337:O348"/>
    <mergeCell ref="P337:P348"/>
    <mergeCell ref="Q337:Q348"/>
    <mergeCell ref="R337:R348"/>
    <mergeCell ref="L337:L348"/>
    <mergeCell ref="M337:M348"/>
    <mergeCell ref="D336:D349"/>
    <mergeCell ref="E336:E349"/>
    <mergeCell ref="F336:J349"/>
    <mergeCell ref="F49:G49"/>
    <mergeCell ref="F50:G50"/>
    <mergeCell ref="F51:G51"/>
    <mergeCell ref="F53:G53"/>
    <mergeCell ref="F55:G55"/>
    <mergeCell ref="AA228:AA239"/>
    <mergeCell ref="AF228:AF239"/>
    <mergeCell ref="AG228:AG239"/>
    <mergeCell ref="AH228:AH239"/>
    <mergeCell ref="W228:W239"/>
    <mergeCell ref="X228:X239"/>
    <mergeCell ref="Y228:Y239"/>
    <mergeCell ref="Z228:Z239"/>
    <mergeCell ref="AI337:AI348"/>
    <mergeCell ref="AH337:AH348"/>
    <mergeCell ref="N337:N348"/>
    <mergeCell ref="D335:J335"/>
    <mergeCell ref="F249:G249"/>
    <mergeCell ref="I249:J249"/>
    <mergeCell ref="F250:G250"/>
    <mergeCell ref="I250:J250"/>
    <mergeCell ref="F251:G251"/>
    <mergeCell ref="F242:G242"/>
    <mergeCell ref="I242:J242"/>
    <mergeCell ref="F247:G247"/>
    <mergeCell ref="I247:J247"/>
    <mergeCell ref="F248:G248"/>
    <mergeCell ref="I248:J248"/>
    <mergeCell ref="I256:J256"/>
    <mergeCell ref="F258:G258"/>
    <mergeCell ref="AI228:AI239"/>
    <mergeCell ref="F105:G105"/>
    <mergeCell ref="F106:G106"/>
    <mergeCell ref="I95:J95"/>
    <mergeCell ref="I96:J96"/>
    <mergeCell ref="I100:J100"/>
    <mergeCell ref="I101:J101"/>
    <mergeCell ref="I26:J26"/>
    <mergeCell ref="I32:J32"/>
    <mergeCell ref="I33:J33"/>
    <mergeCell ref="I47:J47"/>
    <mergeCell ref="F26:G26"/>
    <mergeCell ref="F27:G27"/>
    <mergeCell ref="Y117:Y128"/>
    <mergeCell ref="AF117:AF128"/>
    <mergeCell ref="F58:G58"/>
    <mergeCell ref="F34:G34"/>
    <mergeCell ref="I35:J35"/>
    <mergeCell ref="I34:J34"/>
    <mergeCell ref="I36:J36"/>
    <mergeCell ref="I39:J39"/>
    <mergeCell ref="F28:G28"/>
    <mergeCell ref="F32:G32"/>
    <mergeCell ref="F33:G33"/>
    <mergeCell ref="F35:G35"/>
    <mergeCell ref="F36:G36"/>
    <mergeCell ref="F37:G37"/>
    <mergeCell ref="F39:G39"/>
    <mergeCell ref="F42:G42"/>
    <mergeCell ref="F43:G43"/>
    <mergeCell ref="F45:G45"/>
    <mergeCell ref="F47:G47"/>
    <mergeCell ref="F41:G41"/>
    <mergeCell ref="F86:G86"/>
    <mergeCell ref="I91:J91"/>
    <mergeCell ref="I72:J72"/>
    <mergeCell ref="I76:J76"/>
    <mergeCell ref="I77:J77"/>
    <mergeCell ref="I56:J56"/>
    <mergeCell ref="F57:G57"/>
    <mergeCell ref="F66:G66"/>
    <mergeCell ref="I66:J66"/>
    <mergeCell ref="I93:J93"/>
    <mergeCell ref="F97:G97"/>
    <mergeCell ref="F59:G59"/>
    <mergeCell ref="F60:G60"/>
    <mergeCell ref="F61:G61"/>
    <mergeCell ref="F62:G62"/>
    <mergeCell ref="F63:G63"/>
    <mergeCell ref="F65:G65"/>
    <mergeCell ref="F67:G67"/>
    <mergeCell ref="I142:J142"/>
    <mergeCell ref="I148:J148"/>
    <mergeCell ref="I150:J150"/>
    <mergeCell ref="U117:U128"/>
    <mergeCell ref="D7:AI7"/>
    <mergeCell ref="AA11:AA22"/>
    <mergeCell ref="Z11:Z22"/>
    <mergeCell ref="AF11:AF22"/>
    <mergeCell ref="AG11:AG22"/>
    <mergeCell ref="AH11:AH22"/>
    <mergeCell ref="Y11:Y22"/>
    <mergeCell ref="D10:D23"/>
    <mergeCell ref="D8:J8"/>
    <mergeCell ref="D9:J9"/>
    <mergeCell ref="P11:P22"/>
    <mergeCell ref="Q11:Q22"/>
    <mergeCell ref="R11:R22"/>
    <mergeCell ref="S11:S22"/>
    <mergeCell ref="V11:V22"/>
    <mergeCell ref="F25:G25"/>
    <mergeCell ref="I25:J25"/>
    <mergeCell ref="F24:G24"/>
    <mergeCell ref="I24:J24"/>
    <mergeCell ref="K10:K23"/>
    <mergeCell ref="I65:J65"/>
    <mergeCell ref="I67:J67"/>
    <mergeCell ref="E116:E129"/>
    <mergeCell ref="F116:J129"/>
    <mergeCell ref="I68:J68"/>
    <mergeCell ref="I69:J69"/>
    <mergeCell ref="I70:J70"/>
    <mergeCell ref="F84:G84"/>
    <mergeCell ref="I153:J153"/>
    <mergeCell ref="I155:J155"/>
    <mergeCell ref="I157:J157"/>
    <mergeCell ref="I159:J159"/>
    <mergeCell ref="AA117:AA128"/>
    <mergeCell ref="D224:AI224"/>
    <mergeCell ref="D225:J225"/>
    <mergeCell ref="D226:J226"/>
    <mergeCell ref="D227:D240"/>
    <mergeCell ref="E227:E240"/>
    <mergeCell ref="F227:J240"/>
    <mergeCell ref="L228:L239"/>
    <mergeCell ref="M228:M239"/>
    <mergeCell ref="N228:N239"/>
    <mergeCell ref="U228:U239"/>
    <mergeCell ref="V228:V239"/>
    <mergeCell ref="O228:O239"/>
    <mergeCell ref="P228:P239"/>
    <mergeCell ref="Q228:Q239"/>
    <mergeCell ref="R228:R239"/>
    <mergeCell ref="S228:S239"/>
    <mergeCell ref="T228:T239"/>
    <mergeCell ref="X117:X128"/>
    <mergeCell ref="Q117:Q128"/>
    <mergeCell ref="I134:J134"/>
    <mergeCell ref="F138:G138"/>
    <mergeCell ref="I138:J138"/>
    <mergeCell ref="F139:G139"/>
    <mergeCell ref="I139:J139"/>
    <mergeCell ref="F140:G140"/>
    <mergeCell ref="I140:J140"/>
    <mergeCell ref="F142:G142"/>
    <mergeCell ref="I158:J158"/>
    <mergeCell ref="F164:G164"/>
    <mergeCell ref="I164:J164"/>
    <mergeCell ref="F152:G152"/>
    <mergeCell ref="I152:J152"/>
    <mergeCell ref="F154:G154"/>
    <mergeCell ref="I154:J154"/>
    <mergeCell ref="F155:G155"/>
    <mergeCell ref="F157:G157"/>
    <mergeCell ref="F159:G159"/>
    <mergeCell ref="Z117:Z128"/>
    <mergeCell ref="V117:V128"/>
    <mergeCell ref="L117:L128"/>
    <mergeCell ref="M117:M128"/>
    <mergeCell ref="N117:N128"/>
    <mergeCell ref="O117:O128"/>
    <mergeCell ref="P117:P128"/>
    <mergeCell ref="R117:R128"/>
    <mergeCell ref="S117:S128"/>
    <mergeCell ref="T117:T128"/>
    <mergeCell ref="W117:W128"/>
    <mergeCell ref="F134:G134"/>
    <mergeCell ref="F143:G143"/>
    <mergeCell ref="I143:J143"/>
    <mergeCell ref="F144:G144"/>
    <mergeCell ref="I144:J144"/>
    <mergeCell ref="F146:G146"/>
    <mergeCell ref="I146:J146"/>
    <mergeCell ref="F148:G148"/>
    <mergeCell ref="F149:G149"/>
    <mergeCell ref="F150:G150"/>
    <mergeCell ref="I151:J151"/>
    <mergeCell ref="I184:J184"/>
    <mergeCell ref="I186:J186"/>
    <mergeCell ref="F208:G208"/>
    <mergeCell ref="F204:G204"/>
    <mergeCell ref="I204:J204"/>
    <mergeCell ref="F206:G206"/>
    <mergeCell ref="I206:J206"/>
    <mergeCell ref="I161:J161"/>
    <mergeCell ref="I163:J163"/>
    <mergeCell ref="I165:J165"/>
    <mergeCell ref="F147:G147"/>
    <mergeCell ref="I147:J147"/>
    <mergeCell ref="I149:J149"/>
    <mergeCell ref="F173:G173"/>
    <mergeCell ref="F174:G174"/>
    <mergeCell ref="F175:G175"/>
    <mergeCell ref="F176:G176"/>
    <mergeCell ref="F177:G177"/>
    <mergeCell ref="F178:G178"/>
    <mergeCell ref="F179:G179"/>
    <mergeCell ref="I169:J169"/>
    <mergeCell ref="I171:J171"/>
    <mergeCell ref="I173:J173"/>
    <mergeCell ref="I174:J174"/>
    <mergeCell ref="I175:J175"/>
    <mergeCell ref="F170:G170"/>
    <mergeCell ref="I170:J170"/>
    <mergeCell ref="F172:G172"/>
    <mergeCell ref="I172:J172"/>
    <mergeCell ref="F156:G156"/>
    <mergeCell ref="I156:J156"/>
    <mergeCell ref="F158:G158"/>
    <mergeCell ref="F186:G186"/>
    <mergeCell ref="F188:G188"/>
    <mergeCell ref="F190:G190"/>
    <mergeCell ref="F191:G191"/>
    <mergeCell ref="F192:G192"/>
    <mergeCell ref="I195:J195"/>
    <mergeCell ref="F278:G278"/>
    <mergeCell ref="I278:J278"/>
    <mergeCell ref="F270:G270"/>
    <mergeCell ref="I270:J270"/>
    <mergeCell ref="F272:G272"/>
    <mergeCell ref="I272:J272"/>
    <mergeCell ref="F263:G263"/>
    <mergeCell ref="I263:J263"/>
    <mergeCell ref="F264:G264"/>
    <mergeCell ref="I264:J264"/>
    <mergeCell ref="I268:J268"/>
    <mergeCell ref="F269:G269"/>
    <mergeCell ref="I269:J269"/>
    <mergeCell ref="F256:G256"/>
    <mergeCell ref="F221:G221"/>
    <mergeCell ref="F241:G241"/>
    <mergeCell ref="I241:J241"/>
    <mergeCell ref="I258:J258"/>
    <mergeCell ref="F260:G260"/>
    <mergeCell ref="I260:J260"/>
    <mergeCell ref="I191:J191"/>
    <mergeCell ref="I192:J192"/>
    <mergeCell ref="I193:J193"/>
    <mergeCell ref="F261:G261"/>
    <mergeCell ref="I261:J261"/>
    <mergeCell ref="F262:G262"/>
    <mergeCell ref="D222:J222"/>
    <mergeCell ref="I221:J221"/>
    <mergeCell ref="I253:J253"/>
    <mergeCell ref="I212:J212"/>
    <mergeCell ref="I213:J213"/>
    <mergeCell ref="I214:J214"/>
    <mergeCell ref="I215:J215"/>
    <mergeCell ref="I216:J216"/>
    <mergeCell ref="I218:J218"/>
    <mergeCell ref="I220:J220"/>
    <mergeCell ref="F254:G254"/>
    <mergeCell ref="I254:J254"/>
    <mergeCell ref="F180:G180"/>
    <mergeCell ref="F181:G181"/>
    <mergeCell ref="F182:G182"/>
    <mergeCell ref="F184:G184"/>
    <mergeCell ref="F220:G220"/>
    <mergeCell ref="F185:G185"/>
    <mergeCell ref="I185:J185"/>
    <mergeCell ref="F187:G187"/>
    <mergeCell ref="I187:J187"/>
    <mergeCell ref="F202:G202"/>
    <mergeCell ref="F245:G245"/>
    <mergeCell ref="I245:J245"/>
    <mergeCell ref="F246:G246"/>
    <mergeCell ref="I246:J246"/>
    <mergeCell ref="F210:G210"/>
    <mergeCell ref="I210:J210"/>
    <mergeCell ref="F217:G217"/>
    <mergeCell ref="I217:J217"/>
    <mergeCell ref="F219:G219"/>
    <mergeCell ref="I219:J219"/>
    <mergeCell ref="I188:J188"/>
    <mergeCell ref="I190:J190"/>
    <mergeCell ref="F209:G209"/>
    <mergeCell ref="F211:G211"/>
    <mergeCell ref="F212:G212"/>
    <mergeCell ref="F213:G213"/>
    <mergeCell ref="F214:G214"/>
    <mergeCell ref="F215:G215"/>
    <mergeCell ref="F216:G216"/>
    <mergeCell ref="F218:G218"/>
    <mergeCell ref="F193:G193"/>
    <mergeCell ref="F195:G195"/>
    <mergeCell ref="F196:G196"/>
    <mergeCell ref="F197:G197"/>
    <mergeCell ref="F189:G189"/>
    <mergeCell ref="I189:J189"/>
    <mergeCell ref="F194:G194"/>
    <mergeCell ref="I194:J194"/>
    <mergeCell ref="F201:G201"/>
    <mergeCell ref="I201:J201"/>
    <mergeCell ref="F203:G203"/>
    <mergeCell ref="I203:J203"/>
    <mergeCell ref="F205:G205"/>
    <mergeCell ref="I205:J205"/>
    <mergeCell ref="F207:G207"/>
    <mergeCell ref="I207:J207"/>
    <mergeCell ref="F198:G198"/>
    <mergeCell ref="F199:G199"/>
    <mergeCell ref="F200:G200"/>
    <mergeCell ref="F281:G281"/>
    <mergeCell ref="I281:J281"/>
    <mergeCell ref="F285:G285"/>
    <mergeCell ref="I285:J285"/>
    <mergeCell ref="F287:G287"/>
    <mergeCell ref="I287:J287"/>
    <mergeCell ref="F318:G318"/>
    <mergeCell ref="I318:J318"/>
    <mergeCell ref="F320:G320"/>
    <mergeCell ref="I320:J320"/>
    <mergeCell ref="I251:J251"/>
    <mergeCell ref="K116:K129"/>
    <mergeCell ref="K227:K240"/>
    <mergeCell ref="I279:J279"/>
    <mergeCell ref="I280:J280"/>
    <mergeCell ref="I282:J282"/>
    <mergeCell ref="F283:G283"/>
    <mergeCell ref="I283:J283"/>
    <mergeCell ref="I284:J284"/>
    <mergeCell ref="F284:G284"/>
    <mergeCell ref="F279:G279"/>
    <mergeCell ref="F280:G280"/>
    <mergeCell ref="F282:G282"/>
    <mergeCell ref="I196:J196"/>
    <mergeCell ref="I197:J197"/>
    <mergeCell ref="I198:J198"/>
    <mergeCell ref="I199:J199"/>
    <mergeCell ref="I200:J200"/>
    <mergeCell ref="I202:J202"/>
    <mergeCell ref="I208:J208"/>
    <mergeCell ref="I209:J209"/>
    <mergeCell ref="I211:J211"/>
    <mergeCell ref="F301:G301"/>
    <mergeCell ref="F303:G303"/>
    <mergeCell ref="F305:G305"/>
    <mergeCell ref="F307:G307"/>
    <mergeCell ref="F309:G309"/>
    <mergeCell ref="F311:G311"/>
    <mergeCell ref="F313:G313"/>
    <mergeCell ref="F315:G315"/>
    <mergeCell ref="F317:G317"/>
    <mergeCell ref="F286:G286"/>
    <mergeCell ref="F288:G288"/>
    <mergeCell ref="F289:G289"/>
    <mergeCell ref="F291:G291"/>
    <mergeCell ref="F293:G293"/>
    <mergeCell ref="F295:G295"/>
    <mergeCell ref="F297:G297"/>
    <mergeCell ref="F299:G299"/>
    <mergeCell ref="F290:G290"/>
    <mergeCell ref="I323:J323"/>
    <mergeCell ref="I325:J325"/>
    <mergeCell ref="I327:J327"/>
    <mergeCell ref="I330:J330"/>
    <mergeCell ref="F330:G330"/>
    <mergeCell ref="F327:G327"/>
    <mergeCell ref="K336:K349"/>
    <mergeCell ref="F350:G350"/>
    <mergeCell ref="F352:G352"/>
    <mergeCell ref="F319:G319"/>
    <mergeCell ref="F321:G321"/>
    <mergeCell ref="F323:G323"/>
    <mergeCell ref="F325:G325"/>
    <mergeCell ref="I286:J286"/>
    <mergeCell ref="I288:J288"/>
    <mergeCell ref="I289:J289"/>
    <mergeCell ref="I291:J291"/>
    <mergeCell ref="I293:J293"/>
    <mergeCell ref="I295:J295"/>
    <mergeCell ref="I297:J297"/>
    <mergeCell ref="I299:J299"/>
    <mergeCell ref="I301:J301"/>
    <mergeCell ref="I303:J303"/>
    <mergeCell ref="I305:J305"/>
    <mergeCell ref="I307:J307"/>
    <mergeCell ref="I309:J309"/>
    <mergeCell ref="I311:J311"/>
    <mergeCell ref="I313:J313"/>
    <mergeCell ref="I315:J315"/>
    <mergeCell ref="I317:J317"/>
    <mergeCell ref="I319:J319"/>
    <mergeCell ref="I321:J321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54:G354"/>
    <mergeCell ref="F355:G355"/>
    <mergeCell ref="F357:G357"/>
    <mergeCell ref="F358:G358"/>
    <mergeCell ref="F359:G359"/>
    <mergeCell ref="F360:G360"/>
    <mergeCell ref="F361:G361"/>
    <mergeCell ref="F362:G362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390:G390"/>
    <mergeCell ref="F392:G392"/>
    <mergeCell ref="F394:G394"/>
    <mergeCell ref="F396:G396"/>
    <mergeCell ref="F398:G398"/>
    <mergeCell ref="F400:G400"/>
    <mergeCell ref="F402:G402"/>
    <mergeCell ref="F403:G403"/>
    <mergeCell ref="F404:G404"/>
    <mergeCell ref="F397:G397"/>
    <mergeCell ref="F399:G399"/>
    <mergeCell ref="F401:G401"/>
    <mergeCell ref="I380:J380"/>
    <mergeCell ref="I350:J350"/>
    <mergeCell ref="I352:J352"/>
    <mergeCell ref="I354:J354"/>
    <mergeCell ref="I355:J355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68:J368"/>
    <mergeCell ref="I369:J369"/>
    <mergeCell ref="I370:J370"/>
    <mergeCell ref="I371:J371"/>
    <mergeCell ref="I405:J405"/>
    <mergeCell ref="I406:J406"/>
    <mergeCell ref="I407:J407"/>
    <mergeCell ref="I408:J408"/>
    <mergeCell ref="I409:J409"/>
    <mergeCell ref="I410:J410"/>
    <mergeCell ref="I411:J411"/>
    <mergeCell ref="I412:J412"/>
    <mergeCell ref="I413:J413"/>
    <mergeCell ref="I390:J390"/>
    <mergeCell ref="I392:J392"/>
    <mergeCell ref="I394:J394"/>
    <mergeCell ref="I396:J396"/>
    <mergeCell ref="I398:J398"/>
    <mergeCell ref="I400:J400"/>
    <mergeCell ref="I402:J402"/>
    <mergeCell ref="I403:J403"/>
    <mergeCell ref="I404:J404"/>
    <mergeCell ref="I397:J397"/>
    <mergeCell ref="I399:J399"/>
    <mergeCell ref="I401:J401"/>
    <mergeCell ref="AI426:AI437"/>
    <mergeCell ref="F439:G439"/>
    <mergeCell ref="I439:J439"/>
    <mergeCell ref="I414:J414"/>
    <mergeCell ref="I416:J416"/>
    <mergeCell ref="I418:J418"/>
    <mergeCell ref="I419:J419"/>
    <mergeCell ref="D422:AI422"/>
    <mergeCell ref="D423:J423"/>
    <mergeCell ref="D424:J424"/>
    <mergeCell ref="B425:B438"/>
    <mergeCell ref="D425:D438"/>
    <mergeCell ref="E425:E438"/>
    <mergeCell ref="F425:J438"/>
    <mergeCell ref="K425:K438"/>
    <mergeCell ref="L426:L437"/>
    <mergeCell ref="M426:M437"/>
    <mergeCell ref="N426:N437"/>
    <mergeCell ref="O426:O437"/>
    <mergeCell ref="P426:P437"/>
    <mergeCell ref="Q426:Q437"/>
    <mergeCell ref="R426:R437"/>
    <mergeCell ref="S426:S437"/>
    <mergeCell ref="T426:T437"/>
    <mergeCell ref="U426:U437"/>
    <mergeCell ref="V426:V437"/>
    <mergeCell ref="W426:W437"/>
    <mergeCell ref="F414:G414"/>
    <mergeCell ref="F416:G416"/>
    <mergeCell ref="F418:G418"/>
    <mergeCell ref="F419:G419"/>
    <mergeCell ref="F441:G441"/>
    <mergeCell ref="I441:J441"/>
    <mergeCell ref="F443:G443"/>
    <mergeCell ref="I443:J443"/>
    <mergeCell ref="F445:G445"/>
    <mergeCell ref="I445:J445"/>
    <mergeCell ref="F447:G447"/>
    <mergeCell ref="I447:J447"/>
    <mergeCell ref="F448:G448"/>
    <mergeCell ref="I448:J448"/>
    <mergeCell ref="X426:X437"/>
    <mergeCell ref="Y426:Y437"/>
    <mergeCell ref="Z426:Z437"/>
    <mergeCell ref="AA426:AA437"/>
    <mergeCell ref="AF426:AF437"/>
    <mergeCell ref="AG426:AG437"/>
    <mergeCell ref="AH426:AH437"/>
    <mergeCell ref="F440:G440"/>
    <mergeCell ref="I440:J440"/>
    <mergeCell ref="F442:G442"/>
    <mergeCell ref="I442:J442"/>
    <mergeCell ref="F444:G444"/>
    <mergeCell ref="I444:J444"/>
    <mergeCell ref="F446:G446"/>
    <mergeCell ref="I446:J446"/>
    <mergeCell ref="F456:G456"/>
    <mergeCell ref="I456:J456"/>
    <mergeCell ref="F457:G457"/>
    <mergeCell ref="I457:J457"/>
    <mergeCell ref="F458:G458"/>
    <mergeCell ref="I458:J458"/>
    <mergeCell ref="F459:G459"/>
    <mergeCell ref="I459:J459"/>
    <mergeCell ref="F460:G460"/>
    <mergeCell ref="I460:J460"/>
    <mergeCell ref="F449:G449"/>
    <mergeCell ref="I449:J449"/>
    <mergeCell ref="F450:G450"/>
    <mergeCell ref="I450:J450"/>
    <mergeCell ref="F451:G451"/>
    <mergeCell ref="I451:J451"/>
    <mergeCell ref="F452:G452"/>
    <mergeCell ref="I452:J452"/>
    <mergeCell ref="F454:G454"/>
    <mergeCell ref="I454:J454"/>
    <mergeCell ref="F453:G453"/>
    <mergeCell ref="I453:J453"/>
    <mergeCell ref="F455:G455"/>
    <mergeCell ref="I455:J455"/>
    <mergeCell ref="F466:G466"/>
    <mergeCell ref="I466:J466"/>
    <mergeCell ref="F467:G467"/>
    <mergeCell ref="I467:J467"/>
    <mergeCell ref="F468:G468"/>
    <mergeCell ref="I468:J468"/>
    <mergeCell ref="F469:G469"/>
    <mergeCell ref="I469:J469"/>
    <mergeCell ref="F470:G470"/>
    <mergeCell ref="I470:J470"/>
    <mergeCell ref="F461:G461"/>
    <mergeCell ref="I461:J461"/>
    <mergeCell ref="F462:G462"/>
    <mergeCell ref="I462:J462"/>
    <mergeCell ref="F463:G463"/>
    <mergeCell ref="I463:J463"/>
    <mergeCell ref="F464:G464"/>
    <mergeCell ref="I464:J464"/>
    <mergeCell ref="F465:G465"/>
    <mergeCell ref="I465:J465"/>
    <mergeCell ref="F476:G476"/>
    <mergeCell ref="F477:G477"/>
    <mergeCell ref="F478:G478"/>
    <mergeCell ref="F479:G479"/>
    <mergeCell ref="F480:G480"/>
    <mergeCell ref="F481:G481"/>
    <mergeCell ref="F482:G482"/>
    <mergeCell ref="I482:J482"/>
    <mergeCell ref="F483:G483"/>
    <mergeCell ref="I483:J483"/>
    <mergeCell ref="I476:J476"/>
    <mergeCell ref="I477:J477"/>
    <mergeCell ref="I478:J478"/>
    <mergeCell ref="I479:J479"/>
    <mergeCell ref="I480:J480"/>
    <mergeCell ref="I481:J481"/>
    <mergeCell ref="F471:G471"/>
    <mergeCell ref="I471:J471"/>
    <mergeCell ref="F472:G472"/>
    <mergeCell ref="I472:J472"/>
    <mergeCell ref="F473:G473"/>
    <mergeCell ref="I473:J473"/>
    <mergeCell ref="F474:G474"/>
    <mergeCell ref="I474:J474"/>
    <mergeCell ref="F475:G475"/>
    <mergeCell ref="I475:J475"/>
    <mergeCell ref="F489:G489"/>
    <mergeCell ref="I489:J489"/>
    <mergeCell ref="F490:G490"/>
    <mergeCell ref="I490:J490"/>
    <mergeCell ref="F491:G491"/>
    <mergeCell ref="I491:J491"/>
    <mergeCell ref="F492:G492"/>
    <mergeCell ref="I492:J492"/>
    <mergeCell ref="F493:G493"/>
    <mergeCell ref="I493:J493"/>
    <mergeCell ref="F484:G484"/>
    <mergeCell ref="I484:J484"/>
    <mergeCell ref="F485:G485"/>
    <mergeCell ref="I485:J485"/>
    <mergeCell ref="F486:G486"/>
    <mergeCell ref="I486:J486"/>
    <mergeCell ref="F487:G487"/>
    <mergeCell ref="I487:J487"/>
    <mergeCell ref="F488:G488"/>
    <mergeCell ref="I488:J488"/>
    <mergeCell ref="F499:G499"/>
    <mergeCell ref="I499:J499"/>
    <mergeCell ref="F500:G500"/>
    <mergeCell ref="I500:J500"/>
    <mergeCell ref="F501:G501"/>
    <mergeCell ref="I501:J501"/>
    <mergeCell ref="F502:G502"/>
    <mergeCell ref="I502:J502"/>
    <mergeCell ref="F503:G503"/>
    <mergeCell ref="I503:J503"/>
    <mergeCell ref="F494:G494"/>
    <mergeCell ref="I494:J494"/>
    <mergeCell ref="F495:G495"/>
    <mergeCell ref="I495:J495"/>
    <mergeCell ref="F496:G496"/>
    <mergeCell ref="I496:J496"/>
    <mergeCell ref="F497:G497"/>
    <mergeCell ref="I497:J497"/>
    <mergeCell ref="F498:G498"/>
    <mergeCell ref="I498:J498"/>
    <mergeCell ref="B510:B523"/>
    <mergeCell ref="D510:D523"/>
    <mergeCell ref="E510:E523"/>
    <mergeCell ref="F510:J523"/>
    <mergeCell ref="K510:K523"/>
    <mergeCell ref="L511:L522"/>
    <mergeCell ref="M511:M522"/>
    <mergeCell ref="N511:N522"/>
    <mergeCell ref="O511:O522"/>
    <mergeCell ref="P511:P522"/>
    <mergeCell ref="Q511:Q522"/>
    <mergeCell ref="R511:R522"/>
    <mergeCell ref="S511:S522"/>
    <mergeCell ref="T511:T522"/>
    <mergeCell ref="U511:U522"/>
    <mergeCell ref="V511:V522"/>
    <mergeCell ref="W511:W522"/>
    <mergeCell ref="Y511:Y522"/>
    <mergeCell ref="Z511:Z522"/>
    <mergeCell ref="AA511:AA522"/>
    <mergeCell ref="AF511:AF522"/>
    <mergeCell ref="AG511:AG522"/>
    <mergeCell ref="AH511:AH522"/>
    <mergeCell ref="AI511:AI522"/>
    <mergeCell ref="F524:G524"/>
    <mergeCell ref="I524:J524"/>
    <mergeCell ref="AC511:AC522"/>
    <mergeCell ref="AD511:AD522"/>
    <mergeCell ref="AE511:AE522"/>
    <mergeCell ref="F504:G504"/>
    <mergeCell ref="I504:J504"/>
    <mergeCell ref="D505:J505"/>
    <mergeCell ref="D507:AI507"/>
    <mergeCell ref="D508:J508"/>
    <mergeCell ref="D509:J509"/>
    <mergeCell ref="X511:X522"/>
    <mergeCell ref="F531:G531"/>
    <mergeCell ref="I531:J531"/>
    <mergeCell ref="F532:G532"/>
    <mergeCell ref="I532:J532"/>
    <mergeCell ref="F533:G533"/>
    <mergeCell ref="I533:J533"/>
    <mergeCell ref="F534:G534"/>
    <mergeCell ref="I534:J534"/>
    <mergeCell ref="F535:G535"/>
    <mergeCell ref="I535:J535"/>
    <mergeCell ref="F526:G526"/>
    <mergeCell ref="I526:J526"/>
    <mergeCell ref="F527:G527"/>
    <mergeCell ref="I527:J527"/>
    <mergeCell ref="F528:G528"/>
    <mergeCell ref="I528:J528"/>
    <mergeCell ref="F529:G529"/>
    <mergeCell ref="I529:J529"/>
    <mergeCell ref="F530:G530"/>
    <mergeCell ref="I530:J530"/>
    <mergeCell ref="F541:G541"/>
    <mergeCell ref="I541:J541"/>
    <mergeCell ref="F542:G542"/>
    <mergeCell ref="I542:J542"/>
    <mergeCell ref="F543:G543"/>
    <mergeCell ref="I543:J543"/>
    <mergeCell ref="F544:G544"/>
    <mergeCell ref="I544:J544"/>
    <mergeCell ref="F545:G545"/>
    <mergeCell ref="I545:J545"/>
    <mergeCell ref="F536:G536"/>
    <mergeCell ref="I536:J536"/>
    <mergeCell ref="F537:G537"/>
    <mergeCell ref="I537:J537"/>
    <mergeCell ref="F538:G538"/>
    <mergeCell ref="I538:J538"/>
    <mergeCell ref="F539:G539"/>
    <mergeCell ref="I539:J539"/>
    <mergeCell ref="F540:G540"/>
    <mergeCell ref="I540:J540"/>
    <mergeCell ref="F551:G551"/>
    <mergeCell ref="I551:J551"/>
    <mergeCell ref="F552:G552"/>
    <mergeCell ref="I552:J552"/>
    <mergeCell ref="F553:G553"/>
    <mergeCell ref="I553:J553"/>
    <mergeCell ref="F554:G554"/>
    <mergeCell ref="I554:J554"/>
    <mergeCell ref="F555:G555"/>
    <mergeCell ref="I555:J555"/>
    <mergeCell ref="F546:G546"/>
    <mergeCell ref="I546:J546"/>
    <mergeCell ref="F547:G547"/>
    <mergeCell ref="I547:J547"/>
    <mergeCell ref="F548:G548"/>
    <mergeCell ref="I548:J548"/>
    <mergeCell ref="F549:G549"/>
    <mergeCell ref="I549:J549"/>
    <mergeCell ref="F550:G550"/>
    <mergeCell ref="I550:J550"/>
    <mergeCell ref="F564:G564"/>
    <mergeCell ref="I564:J564"/>
    <mergeCell ref="F565:G565"/>
    <mergeCell ref="I565:J565"/>
    <mergeCell ref="F566:G566"/>
    <mergeCell ref="I566:J566"/>
    <mergeCell ref="F567:G567"/>
    <mergeCell ref="I567:J567"/>
    <mergeCell ref="F568:G568"/>
    <mergeCell ref="I568:J568"/>
    <mergeCell ref="F556:G556"/>
    <mergeCell ref="F557:G557"/>
    <mergeCell ref="F558:G558"/>
    <mergeCell ref="F559:G559"/>
    <mergeCell ref="F560:G560"/>
    <mergeCell ref="F561:G561"/>
    <mergeCell ref="F562:G562"/>
    <mergeCell ref="I562:J562"/>
    <mergeCell ref="F563:G563"/>
    <mergeCell ref="I563:J563"/>
    <mergeCell ref="I556:J556"/>
    <mergeCell ref="F584:G584"/>
    <mergeCell ref="I584:J584"/>
    <mergeCell ref="F575:G575"/>
    <mergeCell ref="I575:J575"/>
    <mergeCell ref="F576:G576"/>
    <mergeCell ref="I576:J576"/>
    <mergeCell ref="F577:G577"/>
    <mergeCell ref="I577:J577"/>
    <mergeCell ref="F578:G578"/>
    <mergeCell ref="I578:J578"/>
    <mergeCell ref="F579:G579"/>
    <mergeCell ref="I579:J579"/>
    <mergeCell ref="F570:G570"/>
    <mergeCell ref="I570:J570"/>
    <mergeCell ref="F571:G571"/>
    <mergeCell ref="I571:J571"/>
    <mergeCell ref="F572:G572"/>
    <mergeCell ref="I572:J572"/>
    <mergeCell ref="F573:G573"/>
    <mergeCell ref="I573:J573"/>
    <mergeCell ref="F574:G574"/>
    <mergeCell ref="I574:J574"/>
    <mergeCell ref="F585:G585"/>
    <mergeCell ref="I585:J585"/>
    <mergeCell ref="D586:J586"/>
    <mergeCell ref="AB11:AB22"/>
    <mergeCell ref="AC11:AC22"/>
    <mergeCell ref="AD11:AD22"/>
    <mergeCell ref="AE11:AE22"/>
    <mergeCell ref="AB117:AB128"/>
    <mergeCell ref="AC117:AC128"/>
    <mergeCell ref="AD117:AD128"/>
    <mergeCell ref="AE117:AE128"/>
    <mergeCell ref="AB228:AB239"/>
    <mergeCell ref="AC228:AC239"/>
    <mergeCell ref="AD228:AD239"/>
    <mergeCell ref="AE228:AE239"/>
    <mergeCell ref="AB337:AB348"/>
    <mergeCell ref="AC337:AC348"/>
    <mergeCell ref="AD337:AD348"/>
    <mergeCell ref="AE337:AE348"/>
    <mergeCell ref="AB426:AB437"/>
    <mergeCell ref="AC426:AC437"/>
    <mergeCell ref="AD426:AD437"/>
    <mergeCell ref="AE426:AE437"/>
    <mergeCell ref="AB511:AB522"/>
    <mergeCell ref="F580:G580"/>
    <mergeCell ref="I580:J580"/>
    <mergeCell ref="F581:G581"/>
    <mergeCell ref="I581:J581"/>
    <mergeCell ref="F582:G582"/>
    <mergeCell ref="I582:J582"/>
    <mergeCell ref="F583:G583"/>
    <mergeCell ref="I583:J583"/>
    <mergeCell ref="D588:AI588"/>
    <mergeCell ref="D589:J589"/>
    <mergeCell ref="D590:J590"/>
    <mergeCell ref="D591:D604"/>
    <mergeCell ref="E591:E604"/>
    <mergeCell ref="F591:J604"/>
    <mergeCell ref="K591:K604"/>
    <mergeCell ref="L592:L603"/>
    <mergeCell ref="M592:M603"/>
    <mergeCell ref="N592:N603"/>
    <mergeCell ref="O592:O603"/>
    <mergeCell ref="P592:P603"/>
    <mergeCell ref="Q592:Q603"/>
    <mergeCell ref="R592:R603"/>
    <mergeCell ref="S592:S603"/>
    <mergeCell ref="T592:T603"/>
    <mergeCell ref="U592:U603"/>
    <mergeCell ref="V592:V603"/>
    <mergeCell ref="W592:W603"/>
    <mergeCell ref="X592:X603"/>
    <mergeCell ref="Y592:Y603"/>
    <mergeCell ref="Z592:Z603"/>
    <mergeCell ref="AA592:AA603"/>
    <mergeCell ref="AB592:AB603"/>
    <mergeCell ref="F606:G606"/>
    <mergeCell ref="I606:J606"/>
    <mergeCell ref="F607:G607"/>
    <mergeCell ref="I607:J607"/>
    <mergeCell ref="F608:G608"/>
    <mergeCell ref="I608:J608"/>
    <mergeCell ref="F609:G609"/>
    <mergeCell ref="I609:J609"/>
    <mergeCell ref="F610:G610"/>
    <mergeCell ref="I610:J610"/>
    <mergeCell ref="AC592:AC603"/>
    <mergeCell ref="AD592:AD603"/>
    <mergeCell ref="AE592:AE603"/>
    <mergeCell ref="AF592:AF603"/>
    <mergeCell ref="AG592:AG603"/>
    <mergeCell ref="AH592:AH603"/>
    <mergeCell ref="AI592:AI603"/>
    <mergeCell ref="F605:G605"/>
    <mergeCell ref="I605:J605"/>
    <mergeCell ref="F616:G616"/>
    <mergeCell ref="I616:J616"/>
    <mergeCell ref="F617:G617"/>
    <mergeCell ref="I617:J617"/>
    <mergeCell ref="F618:G618"/>
    <mergeCell ref="I618:J618"/>
    <mergeCell ref="F619:G619"/>
    <mergeCell ref="I619:J619"/>
    <mergeCell ref="F620:G620"/>
    <mergeCell ref="I620:J620"/>
    <mergeCell ref="F611:G611"/>
    <mergeCell ref="I611:J611"/>
    <mergeCell ref="F612:G612"/>
    <mergeCell ref="I612:J612"/>
    <mergeCell ref="F613:G613"/>
    <mergeCell ref="I613:J613"/>
    <mergeCell ref="F614:G614"/>
    <mergeCell ref="I614:J614"/>
    <mergeCell ref="F615:G615"/>
    <mergeCell ref="I615:J615"/>
    <mergeCell ref="F626:G626"/>
    <mergeCell ref="I626:J626"/>
    <mergeCell ref="F627:G627"/>
    <mergeCell ref="I627:J627"/>
    <mergeCell ref="F628:G628"/>
    <mergeCell ref="I628:J628"/>
    <mergeCell ref="F629:G629"/>
    <mergeCell ref="I629:J629"/>
    <mergeCell ref="F630:G630"/>
    <mergeCell ref="I630:J630"/>
    <mergeCell ref="F621:G621"/>
    <mergeCell ref="I621:J621"/>
    <mergeCell ref="F622:G622"/>
    <mergeCell ref="I622:J622"/>
    <mergeCell ref="F623:G623"/>
    <mergeCell ref="I623:J623"/>
    <mergeCell ref="F624:G624"/>
    <mergeCell ref="I624:J624"/>
    <mergeCell ref="F625:G625"/>
    <mergeCell ref="I625:J625"/>
    <mergeCell ref="F636:G636"/>
    <mergeCell ref="F637:G637"/>
    <mergeCell ref="F638:G638"/>
    <mergeCell ref="F639:G639"/>
    <mergeCell ref="F640:G640"/>
    <mergeCell ref="F641:G641"/>
    <mergeCell ref="F642:G642"/>
    <mergeCell ref="I642:J642"/>
    <mergeCell ref="F643:G643"/>
    <mergeCell ref="I643:J643"/>
    <mergeCell ref="F631:G631"/>
    <mergeCell ref="I631:J631"/>
    <mergeCell ref="F632:G632"/>
    <mergeCell ref="I632:J632"/>
    <mergeCell ref="F633:G633"/>
    <mergeCell ref="I633:J633"/>
    <mergeCell ref="F634:G634"/>
    <mergeCell ref="I634:J634"/>
    <mergeCell ref="F635:G635"/>
    <mergeCell ref="I635:J635"/>
    <mergeCell ref="I636:J636"/>
    <mergeCell ref="I637:J637"/>
    <mergeCell ref="I638:J638"/>
    <mergeCell ref="I639:J639"/>
    <mergeCell ref="I640:J640"/>
    <mergeCell ref="I641:J641"/>
    <mergeCell ref="F649:G649"/>
    <mergeCell ref="I649:J649"/>
    <mergeCell ref="F650:G650"/>
    <mergeCell ref="I650:J650"/>
    <mergeCell ref="F651:G651"/>
    <mergeCell ref="I651:J651"/>
    <mergeCell ref="F652:G652"/>
    <mergeCell ref="I652:J652"/>
    <mergeCell ref="F653:G653"/>
    <mergeCell ref="I653:J653"/>
    <mergeCell ref="F644:G644"/>
    <mergeCell ref="I644:J644"/>
    <mergeCell ref="F645:G645"/>
    <mergeCell ref="I645:J645"/>
    <mergeCell ref="F646:G646"/>
    <mergeCell ref="I646:J646"/>
    <mergeCell ref="F647:G647"/>
    <mergeCell ref="I647:J647"/>
    <mergeCell ref="F648:G648"/>
    <mergeCell ref="I648:J648"/>
    <mergeCell ref="F659:G659"/>
    <mergeCell ref="I659:J659"/>
    <mergeCell ref="F660:G660"/>
    <mergeCell ref="I660:J660"/>
    <mergeCell ref="F661:G661"/>
    <mergeCell ref="I661:J661"/>
    <mergeCell ref="F662:G662"/>
    <mergeCell ref="I662:J662"/>
    <mergeCell ref="F663:G663"/>
    <mergeCell ref="I663:J663"/>
    <mergeCell ref="F654:G654"/>
    <mergeCell ref="I654:J654"/>
    <mergeCell ref="F655:G655"/>
    <mergeCell ref="I655:J655"/>
    <mergeCell ref="F656:G656"/>
    <mergeCell ref="I656:J656"/>
    <mergeCell ref="F657:G657"/>
    <mergeCell ref="I657:J657"/>
    <mergeCell ref="F658:G658"/>
    <mergeCell ref="I658:J658"/>
    <mergeCell ref="F664:G664"/>
    <mergeCell ref="I664:J664"/>
    <mergeCell ref="D665:J665"/>
    <mergeCell ref="D667:AI667"/>
    <mergeCell ref="D668:J668"/>
    <mergeCell ref="D669:J669"/>
    <mergeCell ref="D670:D683"/>
    <mergeCell ref="E670:E683"/>
    <mergeCell ref="F670:J683"/>
    <mergeCell ref="K670:K683"/>
    <mergeCell ref="L671:L682"/>
    <mergeCell ref="M671:M682"/>
    <mergeCell ref="N671:N682"/>
    <mergeCell ref="O671:O682"/>
    <mergeCell ref="P671:P682"/>
    <mergeCell ref="Q671:Q682"/>
    <mergeCell ref="R671:R682"/>
    <mergeCell ref="S671:S682"/>
    <mergeCell ref="T671:T682"/>
    <mergeCell ref="U671:U682"/>
    <mergeCell ref="V671:V682"/>
    <mergeCell ref="W671:W682"/>
    <mergeCell ref="X671:X682"/>
    <mergeCell ref="Y671:Y682"/>
    <mergeCell ref="AI671:AI682"/>
    <mergeCell ref="F684:G684"/>
    <mergeCell ref="I684:J684"/>
    <mergeCell ref="F685:G685"/>
    <mergeCell ref="I685:J685"/>
    <mergeCell ref="F686:G686"/>
    <mergeCell ref="I686:J686"/>
    <mergeCell ref="F687:G687"/>
    <mergeCell ref="I687:J687"/>
    <mergeCell ref="Z671:Z682"/>
    <mergeCell ref="AA671:AA682"/>
    <mergeCell ref="AB671:AB682"/>
    <mergeCell ref="AC671:AC682"/>
    <mergeCell ref="AD671:AD682"/>
    <mergeCell ref="AE671:AE682"/>
    <mergeCell ref="AF671:AF682"/>
    <mergeCell ref="AG671:AG682"/>
    <mergeCell ref="AH671:AH682"/>
    <mergeCell ref="F693:G693"/>
    <mergeCell ref="I693:J693"/>
    <mergeCell ref="F694:G694"/>
    <mergeCell ref="I694:J694"/>
    <mergeCell ref="F695:G695"/>
    <mergeCell ref="I695:J695"/>
    <mergeCell ref="F696:G696"/>
    <mergeCell ref="I696:J696"/>
    <mergeCell ref="F697:G697"/>
    <mergeCell ref="I697:J697"/>
    <mergeCell ref="F688:G688"/>
    <mergeCell ref="I688:J688"/>
    <mergeCell ref="F689:G689"/>
    <mergeCell ref="I689:J689"/>
    <mergeCell ref="F690:G690"/>
    <mergeCell ref="I690:J690"/>
    <mergeCell ref="F691:G691"/>
    <mergeCell ref="I691:J691"/>
    <mergeCell ref="F692:G692"/>
    <mergeCell ref="I692:J692"/>
    <mergeCell ref="F703:G703"/>
    <mergeCell ref="I703:J703"/>
    <mergeCell ref="F704:G704"/>
    <mergeCell ref="I704:J704"/>
    <mergeCell ref="F705:G705"/>
    <mergeCell ref="I705:J705"/>
    <mergeCell ref="F706:G706"/>
    <mergeCell ref="I706:J706"/>
    <mergeCell ref="F707:G707"/>
    <mergeCell ref="I707:J707"/>
    <mergeCell ref="F698:G698"/>
    <mergeCell ref="I698:J698"/>
    <mergeCell ref="F699:G699"/>
    <mergeCell ref="I699:J699"/>
    <mergeCell ref="F700:G700"/>
    <mergeCell ref="I700:J700"/>
    <mergeCell ref="F701:G701"/>
    <mergeCell ref="I701:J701"/>
    <mergeCell ref="F702:G702"/>
    <mergeCell ref="I702:J702"/>
    <mergeCell ref="F713:G713"/>
    <mergeCell ref="I713:J713"/>
    <mergeCell ref="F714:G714"/>
    <mergeCell ref="I714:J714"/>
    <mergeCell ref="F715:G715"/>
    <mergeCell ref="F716:G716"/>
    <mergeCell ref="F717:G717"/>
    <mergeCell ref="F718:G718"/>
    <mergeCell ref="F719:G719"/>
    <mergeCell ref="F708:G708"/>
    <mergeCell ref="I708:J708"/>
    <mergeCell ref="F709:G709"/>
    <mergeCell ref="I709:J709"/>
    <mergeCell ref="F710:G710"/>
    <mergeCell ref="I710:J710"/>
    <mergeCell ref="F711:G711"/>
    <mergeCell ref="I711:J711"/>
    <mergeCell ref="F712:G712"/>
    <mergeCell ref="I712:J712"/>
    <mergeCell ref="F733:G733"/>
    <mergeCell ref="I733:J733"/>
    <mergeCell ref="F734:G734"/>
    <mergeCell ref="I734:J734"/>
    <mergeCell ref="F725:G725"/>
    <mergeCell ref="I725:J725"/>
    <mergeCell ref="F726:G726"/>
    <mergeCell ref="I726:J726"/>
    <mergeCell ref="F727:G727"/>
    <mergeCell ref="I727:J727"/>
    <mergeCell ref="F728:G728"/>
    <mergeCell ref="I728:J728"/>
    <mergeCell ref="F729:G729"/>
    <mergeCell ref="I729:J729"/>
    <mergeCell ref="F720:G720"/>
    <mergeCell ref="F721:G721"/>
    <mergeCell ref="I721:J721"/>
    <mergeCell ref="F722:G722"/>
    <mergeCell ref="I722:J722"/>
    <mergeCell ref="F723:G723"/>
    <mergeCell ref="I723:J723"/>
    <mergeCell ref="F724:G724"/>
    <mergeCell ref="I724:J724"/>
    <mergeCell ref="B591:B604"/>
    <mergeCell ref="B670:B683"/>
    <mergeCell ref="I557:J557"/>
    <mergeCell ref="I558:J558"/>
    <mergeCell ref="I559:J559"/>
    <mergeCell ref="I560:J560"/>
    <mergeCell ref="I561:J561"/>
    <mergeCell ref="F740:G740"/>
    <mergeCell ref="I740:J740"/>
    <mergeCell ref="F741:G741"/>
    <mergeCell ref="I741:J741"/>
    <mergeCell ref="F742:G742"/>
    <mergeCell ref="I742:J742"/>
    <mergeCell ref="F743:G743"/>
    <mergeCell ref="I743:J743"/>
    <mergeCell ref="D744:J744"/>
    <mergeCell ref="F735:G735"/>
    <mergeCell ref="I735:J735"/>
    <mergeCell ref="F736:G736"/>
    <mergeCell ref="I736:J736"/>
    <mergeCell ref="F737:G737"/>
    <mergeCell ref="I737:J737"/>
    <mergeCell ref="F738:G738"/>
    <mergeCell ref="I738:J738"/>
    <mergeCell ref="F739:G739"/>
    <mergeCell ref="I739:J739"/>
    <mergeCell ref="F730:G730"/>
    <mergeCell ref="I730:J730"/>
    <mergeCell ref="F731:G731"/>
    <mergeCell ref="I731:J731"/>
    <mergeCell ref="F732:G732"/>
    <mergeCell ref="I732:J732"/>
    <mergeCell ref="D746:AI746"/>
    <mergeCell ref="D747:J747"/>
    <mergeCell ref="D748:J748"/>
    <mergeCell ref="B749:B762"/>
    <mergeCell ref="D749:D762"/>
    <mergeCell ref="E749:E762"/>
    <mergeCell ref="F749:J762"/>
    <mergeCell ref="K749:K762"/>
    <mergeCell ref="L750:L761"/>
    <mergeCell ref="M750:M761"/>
    <mergeCell ref="N750:N761"/>
    <mergeCell ref="O750:O761"/>
    <mergeCell ref="P750:P761"/>
    <mergeCell ref="Q750:Q761"/>
    <mergeCell ref="R750:R761"/>
    <mergeCell ref="S750:S761"/>
    <mergeCell ref="T750:T761"/>
    <mergeCell ref="U750:U761"/>
    <mergeCell ref="V750:V761"/>
    <mergeCell ref="W750:W761"/>
    <mergeCell ref="X750:X761"/>
    <mergeCell ref="Y750:Y761"/>
    <mergeCell ref="Z750:Z761"/>
    <mergeCell ref="AA750:AA761"/>
    <mergeCell ref="AB750:AB761"/>
    <mergeCell ref="AC750:AC761"/>
    <mergeCell ref="AD750:AD761"/>
    <mergeCell ref="AE750:AE761"/>
    <mergeCell ref="AF750:AF761"/>
    <mergeCell ref="AG750:AG761"/>
    <mergeCell ref="AH750:AH761"/>
    <mergeCell ref="AI750:AI761"/>
    <mergeCell ref="F763:G763"/>
    <mergeCell ref="I763:J763"/>
    <mergeCell ref="F764:G764"/>
    <mergeCell ref="I764:J764"/>
    <mergeCell ref="F765:G765"/>
    <mergeCell ref="I765:J765"/>
    <mergeCell ref="F766:G766"/>
    <mergeCell ref="I766:J766"/>
    <mergeCell ref="F767:G767"/>
    <mergeCell ref="I767:J767"/>
    <mergeCell ref="F768:G768"/>
    <mergeCell ref="I768:J768"/>
    <mergeCell ref="F769:G769"/>
    <mergeCell ref="I769:J769"/>
    <mergeCell ref="F770:G770"/>
    <mergeCell ref="I770:J770"/>
    <mergeCell ref="F771:G771"/>
    <mergeCell ref="I771:J771"/>
    <mergeCell ref="F772:G772"/>
    <mergeCell ref="I772:J772"/>
    <mergeCell ref="F773:G773"/>
    <mergeCell ref="I773:J773"/>
    <mergeCell ref="F774:G774"/>
    <mergeCell ref="I774:J774"/>
    <mergeCell ref="F775:G775"/>
    <mergeCell ref="I775:J775"/>
    <mergeCell ref="F776:G776"/>
    <mergeCell ref="I776:J776"/>
    <mergeCell ref="F777:G777"/>
    <mergeCell ref="I777:J777"/>
    <mergeCell ref="F778:G778"/>
    <mergeCell ref="I778:J778"/>
    <mergeCell ref="F779:G779"/>
    <mergeCell ref="I779:J779"/>
    <mergeCell ref="F780:G780"/>
    <mergeCell ref="I780:J780"/>
    <mergeCell ref="F781:G781"/>
    <mergeCell ref="I781:J781"/>
    <mergeCell ref="F782:G782"/>
    <mergeCell ref="I782:J782"/>
    <mergeCell ref="F783:G783"/>
    <mergeCell ref="I783:J783"/>
    <mergeCell ref="F784:G784"/>
    <mergeCell ref="I784:J784"/>
    <mergeCell ref="F785:G785"/>
    <mergeCell ref="I785:J785"/>
    <mergeCell ref="F786:G786"/>
    <mergeCell ref="I786:J786"/>
    <mergeCell ref="F787:G787"/>
    <mergeCell ref="I787:J787"/>
    <mergeCell ref="F788:G788"/>
    <mergeCell ref="I788:J788"/>
    <mergeCell ref="F789:G789"/>
    <mergeCell ref="I789:J789"/>
    <mergeCell ref="F790:G790"/>
    <mergeCell ref="I790:J790"/>
    <mergeCell ref="F791:G791"/>
    <mergeCell ref="I791:J791"/>
    <mergeCell ref="F792:G792"/>
    <mergeCell ref="I792:J792"/>
    <mergeCell ref="F793:G793"/>
    <mergeCell ref="I793:J793"/>
    <mergeCell ref="F794:G794"/>
    <mergeCell ref="F795:G795"/>
    <mergeCell ref="F796:G796"/>
    <mergeCell ref="F797:G797"/>
    <mergeCell ref="F798:G798"/>
    <mergeCell ref="F799:G799"/>
    <mergeCell ref="F800:G800"/>
    <mergeCell ref="I800:J800"/>
    <mergeCell ref="F801:G801"/>
    <mergeCell ref="I801:J801"/>
    <mergeCell ref="I794:J794"/>
    <mergeCell ref="I795:J795"/>
    <mergeCell ref="I819:J819"/>
    <mergeCell ref="F802:G802"/>
    <mergeCell ref="I802:J802"/>
    <mergeCell ref="F803:G803"/>
    <mergeCell ref="I803:J803"/>
    <mergeCell ref="F804:G804"/>
    <mergeCell ref="I804:J804"/>
    <mergeCell ref="F805:G805"/>
    <mergeCell ref="I805:J805"/>
    <mergeCell ref="F806:G806"/>
    <mergeCell ref="I806:J806"/>
    <mergeCell ref="F807:G807"/>
    <mergeCell ref="I807:J807"/>
    <mergeCell ref="F808:G808"/>
    <mergeCell ref="I808:J808"/>
    <mergeCell ref="F809:G809"/>
    <mergeCell ref="I809:J809"/>
    <mergeCell ref="F810:G810"/>
    <mergeCell ref="I810:J810"/>
    <mergeCell ref="F525:G525"/>
    <mergeCell ref="I525:J525"/>
    <mergeCell ref="F820:G820"/>
    <mergeCell ref="I820:J820"/>
    <mergeCell ref="F821:G821"/>
    <mergeCell ref="I821:J821"/>
    <mergeCell ref="F822:G822"/>
    <mergeCell ref="I822:J822"/>
    <mergeCell ref="D823:J823"/>
    <mergeCell ref="I715:J715"/>
    <mergeCell ref="I716:J716"/>
    <mergeCell ref="I717:J717"/>
    <mergeCell ref="I718:J718"/>
    <mergeCell ref="I719:J719"/>
    <mergeCell ref="I720:J720"/>
    <mergeCell ref="F811:G811"/>
    <mergeCell ref="I811:J811"/>
    <mergeCell ref="F812:G812"/>
    <mergeCell ref="I812:J812"/>
    <mergeCell ref="F813:G813"/>
    <mergeCell ref="I813:J813"/>
    <mergeCell ref="F814:G814"/>
    <mergeCell ref="I814:J814"/>
    <mergeCell ref="F815:G815"/>
    <mergeCell ref="I815:J815"/>
    <mergeCell ref="F816:G816"/>
    <mergeCell ref="I816:J816"/>
    <mergeCell ref="F817:G817"/>
    <mergeCell ref="I817:J817"/>
    <mergeCell ref="F818:G818"/>
    <mergeCell ref="I818:J818"/>
    <mergeCell ref="F819:G819"/>
    <mergeCell ref="F160:G160"/>
    <mergeCell ref="I160:J160"/>
    <mergeCell ref="F162:G162"/>
    <mergeCell ref="I162:J162"/>
    <mergeCell ref="F166:G166"/>
    <mergeCell ref="I166:J166"/>
    <mergeCell ref="F168:G168"/>
    <mergeCell ref="I168:J168"/>
    <mergeCell ref="F169:G169"/>
    <mergeCell ref="F171:G171"/>
    <mergeCell ref="F161:G161"/>
    <mergeCell ref="F163:G163"/>
    <mergeCell ref="F165:G165"/>
    <mergeCell ref="F167:G167"/>
    <mergeCell ref="I167:J167"/>
    <mergeCell ref="F183:G183"/>
    <mergeCell ref="I183:J183"/>
    <mergeCell ref="I176:J176"/>
    <mergeCell ref="I177:J177"/>
    <mergeCell ref="I178:J178"/>
    <mergeCell ref="I179:J179"/>
    <mergeCell ref="I180:J180"/>
    <mergeCell ref="I181:J181"/>
    <mergeCell ref="I182:J182"/>
    <mergeCell ref="F257:G257"/>
    <mergeCell ref="I257:J257"/>
    <mergeCell ref="F259:G259"/>
    <mergeCell ref="I259:J259"/>
    <mergeCell ref="F265:G265"/>
    <mergeCell ref="I265:J265"/>
    <mergeCell ref="F267:G267"/>
    <mergeCell ref="I267:J267"/>
    <mergeCell ref="F271:G271"/>
    <mergeCell ref="I271:J271"/>
    <mergeCell ref="F273:G273"/>
    <mergeCell ref="I273:J273"/>
    <mergeCell ref="F277:G277"/>
    <mergeCell ref="I277:J277"/>
    <mergeCell ref="F255:G255"/>
    <mergeCell ref="I255:J255"/>
    <mergeCell ref="I262:J262"/>
    <mergeCell ref="F276:G276"/>
    <mergeCell ref="I276:J276"/>
    <mergeCell ref="I274:J274"/>
    <mergeCell ref="F275:G275"/>
    <mergeCell ref="I275:J275"/>
    <mergeCell ref="I290:J290"/>
    <mergeCell ref="F292:G292"/>
    <mergeCell ref="I292:J292"/>
    <mergeCell ref="F326:G326"/>
    <mergeCell ref="I326:J326"/>
    <mergeCell ref="F328:G328"/>
    <mergeCell ref="I328:J328"/>
    <mergeCell ref="F294:G294"/>
    <mergeCell ref="I294:J294"/>
    <mergeCell ref="F296:G296"/>
    <mergeCell ref="I296:J296"/>
    <mergeCell ref="F298:G298"/>
    <mergeCell ref="I298:J298"/>
    <mergeCell ref="F302:G302"/>
    <mergeCell ref="I302:J302"/>
    <mergeCell ref="F304:G304"/>
    <mergeCell ref="I304:J304"/>
    <mergeCell ref="F322:G322"/>
    <mergeCell ref="I322:J322"/>
    <mergeCell ref="F324:G324"/>
    <mergeCell ref="I324:J324"/>
    <mergeCell ref="F300:G300"/>
    <mergeCell ref="I300:J300"/>
    <mergeCell ref="F306:G306"/>
    <mergeCell ref="I306:J306"/>
    <mergeCell ref="F308:G308"/>
    <mergeCell ref="I308:J308"/>
    <mergeCell ref="F310:G310"/>
    <mergeCell ref="I310:J310"/>
    <mergeCell ref="F312:G312"/>
    <mergeCell ref="I312:J312"/>
    <mergeCell ref="F314:G314"/>
    <mergeCell ref="I314:J314"/>
    <mergeCell ref="F316:G316"/>
    <mergeCell ref="I316:J316"/>
    <mergeCell ref="F329:G329"/>
    <mergeCell ref="I329:J329"/>
    <mergeCell ref="F351:G351"/>
    <mergeCell ref="I351:J351"/>
    <mergeCell ref="F353:G353"/>
    <mergeCell ref="I353:J353"/>
    <mergeCell ref="F391:G391"/>
    <mergeCell ref="I391:J391"/>
    <mergeCell ref="F393:G393"/>
    <mergeCell ref="I393:J393"/>
    <mergeCell ref="F395:G395"/>
    <mergeCell ref="I395:J395"/>
    <mergeCell ref="I381:J381"/>
    <mergeCell ref="I382:J382"/>
    <mergeCell ref="I383:J383"/>
    <mergeCell ref="I384:J384"/>
    <mergeCell ref="I385:J385"/>
    <mergeCell ref="I386:J386"/>
    <mergeCell ref="I387:J387"/>
    <mergeCell ref="I388:J388"/>
    <mergeCell ref="I389:J389"/>
    <mergeCell ref="I372:J372"/>
    <mergeCell ref="I373:J373"/>
    <mergeCell ref="I374:J374"/>
    <mergeCell ref="I375:J375"/>
    <mergeCell ref="I376:J376"/>
    <mergeCell ref="I377:J377"/>
    <mergeCell ref="I378:J378"/>
    <mergeCell ref="I379:J379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9FB0-5A81-470C-95D1-14EDA2FE7F57}">
  <dimension ref="A1:AA87"/>
  <sheetViews>
    <sheetView tabSelected="1" topLeftCell="A36" zoomScale="85" zoomScaleNormal="85" workbookViewId="0">
      <selection activeCell="N49" sqref="N49"/>
    </sheetView>
  </sheetViews>
  <sheetFormatPr defaultRowHeight="12.75" x14ac:dyDescent="0.2"/>
  <cols>
    <col min="4" max="4" width="55.7109375" customWidth="1"/>
    <col min="5" max="27" width="8.7109375" customWidth="1"/>
  </cols>
  <sheetData>
    <row r="1" spans="1:27" x14ac:dyDescent="0.2">
      <c r="A1" s="5">
        <v>1</v>
      </c>
      <c r="B1" s="5"/>
      <c r="C1" s="5"/>
      <c r="D1" s="1"/>
      <c r="E1" s="1"/>
      <c r="F1" s="16"/>
      <c r="G1" s="1"/>
      <c r="H1" s="1"/>
      <c r="I1" s="16"/>
      <c r="J1" s="16"/>
      <c r="K1" s="16"/>
      <c r="L1" s="16"/>
      <c r="M1" s="16"/>
      <c r="N1" s="16"/>
      <c r="O1" s="1"/>
      <c r="P1" s="1"/>
      <c r="Q1" s="1"/>
      <c r="R1" s="1"/>
      <c r="S1" s="1"/>
      <c r="T1" s="1"/>
      <c r="U1" s="18"/>
      <c r="V1" s="18"/>
      <c r="W1" s="18"/>
      <c r="X1" s="18"/>
    </row>
    <row r="2" spans="1:27" x14ac:dyDescent="0.2">
      <c r="A2" s="5"/>
      <c r="B2" s="5"/>
      <c r="C2" s="5"/>
      <c r="D2" s="1"/>
      <c r="E2" s="1"/>
      <c r="F2" s="16"/>
      <c r="G2" s="1"/>
      <c r="H2" s="1"/>
      <c r="I2" s="16"/>
      <c r="J2" s="16"/>
      <c r="K2" s="16"/>
      <c r="L2" s="16"/>
      <c r="M2" s="16"/>
      <c r="N2" s="16"/>
      <c r="O2" s="1"/>
      <c r="P2" s="1"/>
      <c r="Q2" s="1"/>
      <c r="R2" s="1"/>
      <c r="S2" s="1"/>
      <c r="T2" s="1"/>
      <c r="U2" s="18"/>
      <c r="V2" s="18"/>
      <c r="W2" s="18"/>
      <c r="X2" s="18"/>
    </row>
    <row r="3" spans="1:27" x14ac:dyDescent="0.2">
      <c r="A3" s="5"/>
      <c r="B3" s="5"/>
      <c r="C3" s="5"/>
      <c r="D3" s="1"/>
      <c r="E3" s="1"/>
      <c r="F3" s="2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8"/>
      <c r="V3" s="18"/>
      <c r="W3" s="18"/>
      <c r="X3" s="18"/>
    </row>
    <row r="4" spans="1:27" x14ac:dyDescent="0.2">
      <c r="A4" s="5"/>
      <c r="B4" s="5"/>
      <c r="C4" s="5"/>
      <c r="D4" s="1"/>
      <c r="E4" s="1"/>
      <c r="F4" s="2"/>
      <c r="G4" s="1"/>
      <c r="H4" s="1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8"/>
      <c r="V4" s="18"/>
      <c r="W4" s="18"/>
      <c r="X4" s="18"/>
    </row>
    <row r="5" spans="1:27" x14ac:dyDescent="0.2">
      <c r="A5" s="5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7"/>
      <c r="P5" s="17"/>
      <c r="Q5" s="1"/>
      <c r="R5" s="1"/>
      <c r="S5" s="17"/>
      <c r="T5" s="17"/>
      <c r="U5" s="18"/>
      <c r="V5" s="18"/>
      <c r="W5" s="18"/>
      <c r="X5" s="18"/>
    </row>
    <row r="6" spans="1:27" ht="13.5" thickBot="1" x14ac:dyDescent="0.25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7" ht="13.5" thickBot="1" x14ac:dyDescent="0.25">
      <c r="A7" s="5"/>
      <c r="B7" s="20" t="s">
        <v>9</v>
      </c>
      <c r="C7" s="5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67"/>
    </row>
    <row r="8" spans="1:27" ht="13.5" thickBot="1" x14ac:dyDescent="0.25">
      <c r="A8" s="5"/>
      <c r="B8" s="24">
        <v>1</v>
      </c>
      <c r="C8" s="5"/>
      <c r="D8" s="19"/>
      <c r="E8" s="19" t="str">
        <f>'PAVEMENT MARKING'!K8</f>
        <v>621E00100</v>
      </c>
      <c r="F8" s="19" t="str">
        <f>'PAVEMENT MARKING'!L8</f>
        <v>621E54000</v>
      </c>
      <c r="G8" s="19" t="str">
        <f>'PAVEMENT MARKING'!M8</f>
        <v>642E00104</v>
      </c>
      <c r="H8" s="19" t="str">
        <f>'PAVEMENT MARKING'!N8</f>
        <v>642E00300</v>
      </c>
      <c r="I8" s="19" t="str">
        <f>'PAVEMENT MARKING'!O8</f>
        <v>644E00404</v>
      </c>
      <c r="J8" s="19" t="str">
        <f>'PAVEMENT MARKING'!P8</f>
        <v>644E00500</v>
      </c>
      <c r="K8" s="19" t="str">
        <f>'PAVEMENT MARKING'!Q8</f>
        <v>644E00620</v>
      </c>
      <c r="L8" s="19" t="str">
        <f>'PAVEMENT MARKING'!R8</f>
        <v>644e50300</v>
      </c>
      <c r="M8" s="19" t="str">
        <f>'PAVEMENT MARKING'!S8</f>
        <v>644E00700</v>
      </c>
      <c r="N8" s="19" t="str">
        <f>'PAVEMENT MARKING'!T8</f>
        <v>644E01000</v>
      </c>
      <c r="O8" s="19" t="str">
        <f>'PAVEMENT MARKING'!U8</f>
        <v>644E01300</v>
      </c>
      <c r="P8" s="19" t="str">
        <f>'PAVEMENT MARKING'!V8</f>
        <v>644E01370</v>
      </c>
      <c r="Q8" s="19" t="str">
        <f>'PAVEMENT MARKING'!W8</f>
        <v>644E01520</v>
      </c>
      <c r="R8" s="19" t="str">
        <f>'PAVEMENT MARKING'!X8</f>
        <v>644E20800</v>
      </c>
      <c r="S8" s="19" t="str">
        <f>'PAVEMENT MARKING'!Y8</f>
        <v>644E00720</v>
      </c>
      <c r="T8" s="19" t="str">
        <f>'PAVEMENT MARKING'!Z8</f>
        <v>644E01410</v>
      </c>
      <c r="U8" s="19" t="str">
        <f>'PAVEMENT MARKING'!AA8</f>
        <v>646E10010</v>
      </c>
      <c r="V8" s="19" t="str">
        <f>'PAVEMENT MARKING'!AB8</f>
        <v>646E10200</v>
      </c>
      <c r="W8" s="19" t="str">
        <f>'PAVEMENT MARKING'!AC8</f>
        <v>618E41000</v>
      </c>
      <c r="X8" s="19" t="str">
        <f>'PAVEMENT MARKING'!AD8</f>
        <v>618E42000</v>
      </c>
      <c r="Y8" s="19" t="str">
        <f>'PAVEMENT MARKING'!AE8</f>
        <v>618E43000</v>
      </c>
      <c r="Z8" s="19" t="str">
        <f>'PAVEMENT MARKING'!AF8</f>
        <v>618E44000</v>
      </c>
      <c r="AA8" s="19" t="str">
        <f>'PAVEMENT MARKING'!AG8</f>
        <v>874E21000</v>
      </c>
    </row>
    <row r="9" spans="1:27" ht="13.5" thickBot="1" x14ac:dyDescent="0.25">
      <c r="A9" s="5"/>
      <c r="B9" s="5"/>
      <c r="C9" s="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7" x14ac:dyDescent="0.2">
      <c r="A10" s="5"/>
      <c r="B10" s="250" t="s">
        <v>10</v>
      </c>
      <c r="C10" s="5"/>
      <c r="D10" s="432" t="s">
        <v>683</v>
      </c>
      <c r="E10" s="98" t="str">
        <f>'PAVEMENT MARKING'!K10</f>
        <v>621</v>
      </c>
      <c r="F10" s="99" t="str">
        <f>'PAVEMENT MARKING'!L10</f>
        <v>621</v>
      </c>
      <c r="G10" s="99">
        <f>'PAVEMENT MARKING'!M10</f>
        <v>642</v>
      </c>
      <c r="H10" s="99">
        <f>'PAVEMENT MARKING'!N10</f>
        <v>642</v>
      </c>
      <c r="I10" s="99">
        <f>'PAVEMENT MARKING'!O10</f>
        <v>644</v>
      </c>
      <c r="J10" s="99">
        <f>'PAVEMENT MARKING'!P10</f>
        <v>644</v>
      </c>
      <c r="K10" s="99">
        <f>'PAVEMENT MARKING'!Q10</f>
        <v>644</v>
      </c>
      <c r="L10" s="99">
        <f>'PAVEMENT MARKING'!R10</f>
        <v>644</v>
      </c>
      <c r="M10" s="99">
        <f>'PAVEMENT MARKING'!S10</f>
        <v>644</v>
      </c>
      <c r="N10" s="99" t="str">
        <f>'PAVEMENT MARKING'!T10</f>
        <v>SPECIAL</v>
      </c>
      <c r="O10" s="99">
        <f>'PAVEMENT MARKING'!U10</f>
        <v>644</v>
      </c>
      <c r="P10" s="99">
        <f>'PAVEMENT MARKING'!V10</f>
        <v>644</v>
      </c>
      <c r="Q10" s="99">
        <f>'PAVEMENT MARKING'!W10</f>
        <v>644</v>
      </c>
      <c r="R10" s="99">
        <f>'PAVEMENT MARKING'!X10</f>
        <v>644</v>
      </c>
      <c r="S10" s="99">
        <f>'PAVEMENT MARKING'!Y10</f>
        <v>644</v>
      </c>
      <c r="T10" s="99">
        <f>'PAVEMENT MARKING'!Z10</f>
        <v>644</v>
      </c>
      <c r="U10" s="99">
        <f>'PAVEMENT MARKING'!AA10</f>
        <v>646</v>
      </c>
      <c r="V10" s="99">
        <f>'PAVEMENT MARKING'!AB10</f>
        <v>646</v>
      </c>
      <c r="W10" s="99" t="str">
        <f>'PAVEMENT MARKING'!AC10</f>
        <v>SPECIAL</v>
      </c>
      <c r="X10" s="99" t="str">
        <f>'PAVEMENT MARKING'!AD10</f>
        <v>618</v>
      </c>
      <c r="Y10" s="99" t="str">
        <f>'PAVEMENT MARKING'!AE10</f>
        <v>618</v>
      </c>
      <c r="Z10" s="99" t="str">
        <f>'PAVEMENT MARKING'!AF10</f>
        <v>618</v>
      </c>
      <c r="AA10" s="100">
        <f>'PAVEMENT MARKING'!AG10</f>
        <v>874</v>
      </c>
    </row>
    <row r="11" spans="1:27" ht="13.15" customHeight="1" x14ac:dyDescent="0.2">
      <c r="A11" s="5"/>
      <c r="B11" s="251"/>
      <c r="C11" s="5"/>
      <c r="D11" s="433"/>
      <c r="E11" s="281" t="str">
        <f>'PAVEMENT MARKING'!K11</f>
        <v>RPM</v>
      </c>
      <c r="F11" s="244" t="str">
        <f>'PAVEMENT MARKING'!L11</f>
        <v>RAISED PAVEMENT MARKER REMOVED</v>
      </c>
      <c r="G11" s="244" t="str">
        <f>'PAVEMENT MARKING'!M11</f>
        <v>EDGE LINE, 6", TYPE 1</v>
      </c>
      <c r="H11" s="244" t="str">
        <f>'PAVEMENT MARKING'!N11</f>
        <v>CENTER LINE, TYPE 1</v>
      </c>
      <c r="I11" s="244" t="str">
        <f>'PAVEMENT MARKING'!O11</f>
        <v>CHANNELIZING LINE, 12"</v>
      </c>
      <c r="J11" s="244" t="str">
        <f>'PAVEMENT MARKING'!P11</f>
        <v>STOP LINE</v>
      </c>
      <c r="K11" s="244" t="str">
        <f>'PAVEMENT MARKING'!Q11</f>
        <v>CROSSWALK LINE, 12"</v>
      </c>
      <c r="L11" s="244" t="str">
        <f>'PAVEMENT MARKING'!R11</f>
        <v>PAVEMENT MARKING, MISC.: CROSSWALK LINE, 18"</v>
      </c>
      <c r="M11" s="244" t="str">
        <f>'PAVEMENT MARKING'!S11</f>
        <v>TRANSVERSE/DIAGONAL LINE (YELLOW)</v>
      </c>
      <c r="N11" s="244" t="str">
        <f>'PAVEMENT MARKING'!T11</f>
        <v>RAILROAD SYMBOL MARKING</v>
      </c>
      <c r="O11" s="244" t="str">
        <f>'PAVEMENT MARKING'!U11</f>
        <v>LANE ARROW</v>
      </c>
      <c r="P11" s="244" t="str">
        <f>'PAVEMENT MARKING'!V11</f>
        <v>TWO WAY LEFT TURN ARROW</v>
      </c>
      <c r="Q11" s="244" t="str">
        <f>'PAVEMENT MARKING'!W11</f>
        <v>DOTTED LINE, 12"</v>
      </c>
      <c r="R11" s="244" t="str">
        <f>'PAVEMENT MARKING'!X11</f>
        <v>YIELD LINE</v>
      </c>
      <c r="S11" s="244" t="str">
        <f>'PAVEMENT MARKING'!Y11</f>
        <v>CHEVRON MARKING</v>
      </c>
      <c r="T11" s="244" t="str">
        <f>'PAVEMENT MARKING'!Z11</f>
        <v>WORD ON PAVEMENT, 96"</v>
      </c>
      <c r="U11" s="244" t="str">
        <f>'PAVEMENT MARKING'!AA11</f>
        <v>EDGE LINE, 6"</v>
      </c>
      <c r="V11" s="244" t="str">
        <f>'PAVEMENT MARKING'!AB11</f>
        <v>CENTER LINE</v>
      </c>
      <c r="W11" s="244" t="str">
        <f>'PAVEMENT MARKING'!AC11</f>
        <v>RUMBLE STRIPES. EDGE LINE (ASPHALT CONCRETE)</v>
      </c>
      <c r="X11" s="244" t="str">
        <f>'PAVEMENT MARKING'!AD11</f>
        <v>RUMBLE STRIPES, EDGE LINE (CONCRETE)</v>
      </c>
      <c r="Y11" s="244" t="str">
        <f>'PAVEMENT MARKING'!AE11</f>
        <v>RUMBLE STRIPES, CENTER LINE (ASPHALT CONCRETE)</v>
      </c>
      <c r="Z11" s="244" t="str">
        <f>'PAVEMENT MARKING'!AF11</f>
        <v>RUMBLE STRIPES, CENTER LINE (CONCRETE)</v>
      </c>
      <c r="AA11" s="418" t="str">
        <f>'PAVEMENT MARKING'!AG11</f>
        <v>LONGITUDINAL JOINT PREPARATION</v>
      </c>
    </row>
    <row r="12" spans="1:27" x14ac:dyDescent="0.2">
      <c r="A12" s="5"/>
      <c r="B12" s="251"/>
      <c r="C12" s="5"/>
      <c r="D12" s="433"/>
      <c r="E12" s="282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419"/>
    </row>
    <row r="13" spans="1:27" x14ac:dyDescent="0.2">
      <c r="A13" s="5"/>
      <c r="B13" s="251"/>
      <c r="C13" s="5"/>
      <c r="D13" s="433"/>
      <c r="E13" s="282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419"/>
    </row>
    <row r="14" spans="1:27" x14ac:dyDescent="0.2">
      <c r="A14" s="5"/>
      <c r="B14" s="251"/>
      <c r="C14" s="5"/>
      <c r="D14" s="433"/>
      <c r="E14" s="282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419"/>
    </row>
    <row r="15" spans="1:27" x14ac:dyDescent="0.2">
      <c r="A15" s="5"/>
      <c r="B15" s="251"/>
      <c r="C15" s="5"/>
      <c r="D15" s="433"/>
      <c r="E15" s="282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419"/>
    </row>
    <row r="16" spans="1:27" x14ac:dyDescent="0.2">
      <c r="A16" s="5"/>
      <c r="B16" s="251"/>
      <c r="C16" s="5"/>
      <c r="D16" s="433"/>
      <c r="E16" s="282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419"/>
    </row>
    <row r="17" spans="1:27" x14ac:dyDescent="0.2">
      <c r="A17" s="5"/>
      <c r="B17" s="251"/>
      <c r="C17" s="5"/>
      <c r="D17" s="433"/>
      <c r="E17" s="282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419"/>
    </row>
    <row r="18" spans="1:27" x14ac:dyDescent="0.2">
      <c r="A18" s="5"/>
      <c r="B18" s="251"/>
      <c r="C18" s="5"/>
      <c r="D18" s="433"/>
      <c r="E18" s="282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419"/>
    </row>
    <row r="19" spans="1:27" x14ac:dyDescent="0.2">
      <c r="A19" s="5"/>
      <c r="B19" s="251"/>
      <c r="C19" s="5"/>
      <c r="D19" s="433"/>
      <c r="E19" s="282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419"/>
    </row>
    <row r="20" spans="1:27" x14ac:dyDescent="0.2">
      <c r="A20" s="5"/>
      <c r="B20" s="251"/>
      <c r="C20" s="5"/>
      <c r="D20" s="433"/>
      <c r="E20" s="282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419"/>
    </row>
    <row r="21" spans="1:27" x14ac:dyDescent="0.2">
      <c r="A21" s="5"/>
      <c r="B21" s="251"/>
      <c r="C21" s="5"/>
      <c r="D21" s="433"/>
      <c r="E21" s="282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419"/>
    </row>
    <row r="22" spans="1:27" x14ac:dyDescent="0.2">
      <c r="A22" s="5"/>
      <c r="B22" s="251"/>
      <c r="C22" s="5"/>
      <c r="D22" s="433"/>
      <c r="E22" s="283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420"/>
    </row>
    <row r="23" spans="1:27" ht="13.5" thickBot="1" x14ac:dyDescent="0.25">
      <c r="A23" s="5"/>
      <c r="B23" s="252"/>
      <c r="C23" s="5"/>
      <c r="D23" s="434"/>
      <c r="E23" s="101" t="str">
        <f>'PAVEMENT MARKING'!K23</f>
        <v>EACH</v>
      </c>
      <c r="F23" s="102" t="str">
        <f>'PAVEMENT MARKING'!L23</f>
        <v>EACH</v>
      </c>
      <c r="G23" s="102" t="str">
        <f>'PAVEMENT MARKING'!M23</f>
        <v>MILE</v>
      </c>
      <c r="H23" s="102" t="str">
        <f>'PAVEMENT MARKING'!N23</f>
        <v>MILE</v>
      </c>
      <c r="I23" s="102" t="str">
        <f>'PAVEMENT MARKING'!O23</f>
        <v>FT</v>
      </c>
      <c r="J23" s="102" t="str">
        <f>'PAVEMENT MARKING'!P23</f>
        <v>FT</v>
      </c>
      <c r="K23" s="102" t="str">
        <f>'PAVEMENT MARKING'!Q23</f>
        <v>FT</v>
      </c>
      <c r="L23" s="102" t="str">
        <f>'PAVEMENT MARKING'!R23</f>
        <v>FT</v>
      </c>
      <c r="M23" s="102" t="str">
        <f>'PAVEMENT MARKING'!S23</f>
        <v>FT</v>
      </c>
      <c r="N23" s="102" t="str">
        <f>'PAVEMENT MARKING'!T23</f>
        <v>EACH</v>
      </c>
      <c r="O23" s="102" t="str">
        <f>'PAVEMENT MARKING'!U23</f>
        <v>EACH</v>
      </c>
      <c r="P23" s="102" t="str">
        <f>'PAVEMENT MARKING'!V23</f>
        <v>EACH</v>
      </c>
      <c r="Q23" s="102" t="str">
        <f>'PAVEMENT MARKING'!W23</f>
        <v>FT</v>
      </c>
      <c r="R23" s="102" t="str">
        <f>'PAVEMENT MARKING'!X23</f>
        <v>FT</v>
      </c>
      <c r="S23" s="102" t="str">
        <f>'PAVEMENT MARKING'!Y23</f>
        <v>FT</v>
      </c>
      <c r="T23" s="102" t="str">
        <f>'PAVEMENT MARKING'!Z23</f>
        <v>EACH</v>
      </c>
      <c r="U23" s="102" t="str">
        <f>'PAVEMENT MARKING'!AA23</f>
        <v>MILE</v>
      </c>
      <c r="V23" s="102" t="str">
        <f>'PAVEMENT MARKING'!AB23</f>
        <v>MILE</v>
      </c>
      <c r="W23" s="102" t="str">
        <f>'PAVEMENT MARKING'!AC23</f>
        <v>MILE</v>
      </c>
      <c r="X23" s="102" t="str">
        <f>'PAVEMENT MARKING'!AD23</f>
        <v>MILE</v>
      </c>
      <c r="Y23" s="102" t="str">
        <f>'PAVEMENT MARKING'!AE23</f>
        <v>MILE</v>
      </c>
      <c r="Z23" s="102" t="str">
        <f>'PAVEMENT MARKING'!AF23</f>
        <v>MILE</v>
      </c>
      <c r="AA23" s="103" t="str">
        <f>'PAVEMENT MARKING'!AG23</f>
        <v>MILE</v>
      </c>
    </row>
    <row r="24" spans="1:27" x14ac:dyDescent="0.2">
      <c r="A24" s="5"/>
      <c r="B24" s="21"/>
      <c r="C24" s="5"/>
      <c r="D24" s="65"/>
      <c r="E24" s="104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6"/>
      <c r="Y24" s="106"/>
      <c r="Z24" s="105"/>
      <c r="AA24" s="107"/>
    </row>
    <row r="25" spans="1:27" x14ac:dyDescent="0.2">
      <c r="A25" s="5"/>
      <c r="B25" s="21"/>
      <c r="C25" s="5"/>
      <c r="D25" s="135" t="s">
        <v>711</v>
      </c>
      <c r="E25" s="108">
        <f>'PAVEMENT MARKING'!K84</f>
        <v>69</v>
      </c>
      <c r="F25" s="109">
        <f>'PAVEMENT MARKING'!L84</f>
        <v>69</v>
      </c>
      <c r="G25" s="110">
        <f>'PAVEMENT MARKING'!M84</f>
        <v>1.0842803030303032</v>
      </c>
      <c r="H25" s="110">
        <f>'PAVEMENT MARKING'!N84</f>
        <v>0.93522727272727268</v>
      </c>
      <c r="I25" s="111">
        <f>'PAVEMENT MARKING'!O84</f>
        <v>328</v>
      </c>
      <c r="J25" s="111">
        <f>'PAVEMENT MARKING'!P84</f>
        <v>24</v>
      </c>
      <c r="K25" s="111">
        <f>'PAVEMENT MARKING'!Q84</f>
        <v>282</v>
      </c>
      <c r="L25" s="111">
        <f>'PAVEMENT MARKING'!R84</f>
        <v>50</v>
      </c>
      <c r="M25" s="111">
        <f>'PAVEMENT MARKING'!S84</f>
        <v>207</v>
      </c>
      <c r="N25" s="109">
        <f>'PAVEMENT MARKING'!T84</f>
        <v>0</v>
      </c>
      <c r="O25" s="109">
        <f>'PAVEMENT MARKING'!U84</f>
        <v>2</v>
      </c>
      <c r="P25" s="109">
        <f>'PAVEMENT MARKING'!V84</f>
        <v>0</v>
      </c>
      <c r="Q25" s="111">
        <f>'PAVEMENT MARKING'!W84</f>
        <v>0</v>
      </c>
      <c r="R25" s="111">
        <f>'PAVEMENT MARKING'!X84</f>
        <v>0</v>
      </c>
      <c r="S25" s="111">
        <f>'PAVEMENT MARKING'!Y84</f>
        <v>0</v>
      </c>
      <c r="T25" s="109">
        <f>'PAVEMENT MARKING'!Z84</f>
        <v>0</v>
      </c>
      <c r="U25" s="110">
        <f>'PAVEMENT MARKING'!AA84</f>
        <v>0</v>
      </c>
      <c r="V25" s="110">
        <f>'PAVEMENT MARKING'!AB84</f>
        <v>0</v>
      </c>
      <c r="W25" s="110">
        <f>'PAVEMENT MARKING'!AC84</f>
        <v>0</v>
      </c>
      <c r="X25" s="110">
        <f>'PAVEMENT MARKING'!AD84</f>
        <v>0</v>
      </c>
      <c r="Y25" s="110">
        <f>'PAVEMENT MARKING'!AE84</f>
        <v>0</v>
      </c>
      <c r="Z25" s="110">
        <f>'PAVEMENT MARKING'!AF84</f>
        <v>0</v>
      </c>
      <c r="AA25" s="112">
        <f>'PAVEMENT MARKING'!AG84</f>
        <v>0</v>
      </c>
    </row>
    <row r="26" spans="1:27" x14ac:dyDescent="0.2">
      <c r="A26" s="5"/>
      <c r="B26" s="21"/>
      <c r="C26" s="5"/>
      <c r="D26" s="135"/>
      <c r="E26" s="113"/>
      <c r="F26" s="114"/>
      <c r="G26" s="110"/>
      <c r="H26" s="110"/>
      <c r="I26" s="111"/>
      <c r="J26" s="111"/>
      <c r="K26" s="111"/>
      <c r="L26" s="111"/>
      <c r="M26" s="111"/>
      <c r="N26" s="114"/>
      <c r="O26" s="114"/>
      <c r="P26" s="114"/>
      <c r="Q26" s="111"/>
      <c r="R26" s="111"/>
      <c r="S26" s="111"/>
      <c r="T26" s="114"/>
      <c r="U26" s="110"/>
      <c r="V26" s="110"/>
      <c r="W26" s="110"/>
      <c r="X26" s="110"/>
      <c r="Y26" s="110"/>
      <c r="Z26" s="110"/>
      <c r="AA26" s="112"/>
    </row>
    <row r="27" spans="1:27" x14ac:dyDescent="0.2">
      <c r="A27" s="5"/>
      <c r="B27" s="21"/>
      <c r="C27" s="5"/>
      <c r="D27" s="135" t="s">
        <v>712</v>
      </c>
      <c r="E27" s="108">
        <f>'PAVEMENT MARKING'!K165</f>
        <v>55</v>
      </c>
      <c r="F27" s="109">
        <f>'PAVEMENT MARKING'!L165</f>
        <v>55</v>
      </c>
      <c r="G27" s="110">
        <f>'PAVEMENT MARKING'!M165</f>
        <v>1.4416666666666669</v>
      </c>
      <c r="H27" s="110">
        <f>'PAVEMENT MARKING'!N165</f>
        <v>0.72083333333333333</v>
      </c>
      <c r="I27" s="111">
        <f>'PAVEMENT MARKING'!O165</f>
        <v>0</v>
      </c>
      <c r="J27" s="111">
        <f>'PAVEMENT MARKING'!P165</f>
        <v>0</v>
      </c>
      <c r="K27" s="111">
        <f>'PAVEMENT MARKING'!Q165</f>
        <v>0</v>
      </c>
      <c r="L27" s="111">
        <f>'PAVEMENT MARKING'!R165</f>
        <v>0</v>
      </c>
      <c r="M27" s="111">
        <f>'PAVEMENT MARKING'!S165</f>
        <v>0</v>
      </c>
      <c r="N27" s="109">
        <f>'PAVEMENT MARKING'!T165</f>
        <v>0</v>
      </c>
      <c r="O27" s="109">
        <f>'PAVEMENT MARKING'!U165</f>
        <v>0</v>
      </c>
      <c r="P27" s="109">
        <f>'PAVEMENT MARKING'!V165</f>
        <v>0</v>
      </c>
      <c r="Q27" s="111">
        <f>'PAVEMENT MARKING'!W165</f>
        <v>0</v>
      </c>
      <c r="R27" s="111">
        <f>'PAVEMENT MARKING'!X165</f>
        <v>0</v>
      </c>
      <c r="S27" s="111">
        <f>'PAVEMENT MARKING'!Y165</f>
        <v>0</v>
      </c>
      <c r="T27" s="109">
        <f>'PAVEMENT MARKING'!Z165</f>
        <v>0</v>
      </c>
      <c r="U27" s="110">
        <f>'PAVEMENT MARKING'!AA165</f>
        <v>3.5606060606060606E-2</v>
      </c>
      <c r="V27" s="110">
        <f>'PAVEMENT MARKING'!AB165</f>
        <v>1.7803030303030303E-2</v>
      </c>
      <c r="W27" s="110">
        <f>'PAVEMENT MARKING'!AC165</f>
        <v>0</v>
      </c>
      <c r="X27" s="110">
        <f>'PAVEMENT MARKING'!AD165</f>
        <v>0</v>
      </c>
      <c r="Y27" s="110">
        <f>'PAVEMENT MARKING'!AE165</f>
        <v>0</v>
      </c>
      <c r="Z27" s="110">
        <f>'PAVEMENT MARKING'!AF165</f>
        <v>0</v>
      </c>
      <c r="AA27" s="112">
        <f>'PAVEMENT MARKING'!AG165</f>
        <v>0</v>
      </c>
    </row>
    <row r="28" spans="1:27" x14ac:dyDescent="0.2">
      <c r="A28" s="5"/>
      <c r="B28" s="21"/>
      <c r="C28" s="5"/>
      <c r="D28" s="135"/>
      <c r="E28" s="113"/>
      <c r="F28" s="114"/>
      <c r="G28" s="110"/>
      <c r="H28" s="110"/>
      <c r="I28" s="111"/>
      <c r="J28" s="111"/>
      <c r="K28" s="111"/>
      <c r="L28" s="111"/>
      <c r="M28" s="111"/>
      <c r="N28" s="114"/>
      <c r="O28" s="114"/>
      <c r="P28" s="114"/>
      <c r="Q28" s="111"/>
      <c r="R28" s="111"/>
      <c r="S28" s="111"/>
      <c r="T28" s="114"/>
      <c r="U28" s="110"/>
      <c r="V28" s="110"/>
      <c r="W28" s="110"/>
      <c r="X28" s="110"/>
      <c r="Y28" s="110"/>
      <c r="Z28" s="110"/>
      <c r="AA28" s="112"/>
    </row>
    <row r="29" spans="1:27" x14ac:dyDescent="0.2">
      <c r="A29" s="5"/>
      <c r="B29" s="21"/>
      <c r="C29" s="5"/>
      <c r="D29" s="135" t="s">
        <v>713</v>
      </c>
      <c r="E29" s="108">
        <f>'PAVEMENT MARKING'!K247</f>
        <v>55</v>
      </c>
      <c r="F29" s="109">
        <f>'PAVEMENT MARKING'!L247</f>
        <v>27</v>
      </c>
      <c r="G29" s="110">
        <f>'PAVEMENT MARKING'!M247</f>
        <v>0.75918560606060614</v>
      </c>
      <c r="H29" s="110">
        <f>'PAVEMENT MARKING'!N247</f>
        <v>0.34791666666666665</v>
      </c>
      <c r="I29" s="111">
        <f>'PAVEMENT MARKING'!O247</f>
        <v>0</v>
      </c>
      <c r="J29" s="111">
        <f>'PAVEMENT MARKING'!P247</f>
        <v>0</v>
      </c>
      <c r="K29" s="111">
        <f>'PAVEMENT MARKING'!Q247</f>
        <v>0</v>
      </c>
      <c r="L29" s="111">
        <f>'PAVEMENT MARKING'!R247</f>
        <v>80</v>
      </c>
      <c r="M29" s="111">
        <f>'PAVEMENT MARKING'!S247</f>
        <v>100</v>
      </c>
      <c r="N29" s="109">
        <f>'PAVEMENT MARKING'!T247</f>
        <v>0</v>
      </c>
      <c r="O29" s="109">
        <f>'PAVEMENT MARKING'!U247</f>
        <v>0</v>
      </c>
      <c r="P29" s="109">
        <f>'PAVEMENT MARKING'!V247</f>
        <v>0</v>
      </c>
      <c r="Q29" s="111">
        <f>'PAVEMENT MARKING'!W247</f>
        <v>114</v>
      </c>
      <c r="R29" s="111">
        <f>'PAVEMENT MARKING'!X247</f>
        <v>36</v>
      </c>
      <c r="S29" s="111">
        <f>'PAVEMENT MARKING'!Y247</f>
        <v>0</v>
      </c>
      <c r="T29" s="109">
        <f>'PAVEMENT MARKING'!Z247</f>
        <v>0</v>
      </c>
      <c r="U29" s="110">
        <f>'PAVEMENT MARKING'!AA247</f>
        <v>0</v>
      </c>
      <c r="V29" s="110">
        <f>'PAVEMENT MARKING'!AB247</f>
        <v>0</v>
      </c>
      <c r="W29" s="110">
        <f>'PAVEMENT MARKING'!AC247</f>
        <v>0</v>
      </c>
      <c r="X29" s="110">
        <f>'PAVEMENT MARKING'!AD247</f>
        <v>0</v>
      </c>
      <c r="Y29" s="110">
        <f>'PAVEMENT MARKING'!AE247</f>
        <v>0</v>
      </c>
      <c r="Z29" s="110">
        <f>'PAVEMENT MARKING'!AF247</f>
        <v>0</v>
      </c>
      <c r="AA29" s="112">
        <f>'PAVEMENT MARKING'!AG247</f>
        <v>0</v>
      </c>
    </row>
    <row r="30" spans="1:27" x14ac:dyDescent="0.2">
      <c r="A30" s="5"/>
      <c r="B30" s="21"/>
      <c r="C30" s="5"/>
      <c r="D30" s="135"/>
      <c r="E30" s="113"/>
      <c r="F30" s="114"/>
      <c r="G30" s="110"/>
      <c r="H30" s="110"/>
      <c r="I30" s="111"/>
      <c r="J30" s="111"/>
      <c r="K30" s="111"/>
      <c r="L30" s="111"/>
      <c r="M30" s="111"/>
      <c r="N30" s="114"/>
      <c r="O30" s="114"/>
      <c r="P30" s="114"/>
      <c r="Q30" s="111"/>
      <c r="R30" s="111"/>
      <c r="S30" s="111"/>
      <c r="T30" s="114"/>
      <c r="U30" s="110"/>
      <c r="V30" s="110"/>
      <c r="W30" s="110"/>
      <c r="X30" s="110"/>
      <c r="Y30" s="110"/>
      <c r="Z30" s="110"/>
      <c r="AA30" s="112"/>
    </row>
    <row r="31" spans="1:27" x14ac:dyDescent="0.2">
      <c r="A31" s="5"/>
      <c r="B31" s="21"/>
      <c r="C31" s="5"/>
      <c r="D31" s="135" t="s">
        <v>714</v>
      </c>
      <c r="E31" s="108">
        <f>'PAVEMENT MARKING'!K329</f>
        <v>90</v>
      </c>
      <c r="F31" s="109">
        <f>'PAVEMENT MARKING'!L329</f>
        <v>0</v>
      </c>
      <c r="G31" s="110">
        <f>'PAVEMENT MARKING'!M329</f>
        <v>0.82007575757575757</v>
      </c>
      <c r="H31" s="110">
        <f>'PAVEMENT MARKING'!N329</f>
        <v>0.61742424242424243</v>
      </c>
      <c r="I31" s="111">
        <f>'PAVEMENT MARKING'!O329</f>
        <v>400</v>
      </c>
      <c r="J31" s="111">
        <f>'PAVEMENT MARKING'!P329</f>
        <v>29</v>
      </c>
      <c r="K31" s="111">
        <f>'PAVEMENT MARKING'!Q329</f>
        <v>106</v>
      </c>
      <c r="L31" s="111">
        <f>'PAVEMENT MARKING'!R329</f>
        <v>0</v>
      </c>
      <c r="M31" s="111">
        <f>'PAVEMENT MARKING'!S329</f>
        <v>122</v>
      </c>
      <c r="N31" s="109">
        <f>'PAVEMENT MARKING'!T329</f>
        <v>0</v>
      </c>
      <c r="O31" s="109">
        <f>'PAVEMENT MARKING'!U329</f>
        <v>2</v>
      </c>
      <c r="P31" s="109">
        <f>'PAVEMENT MARKING'!V329</f>
        <v>0</v>
      </c>
      <c r="Q31" s="111">
        <f>'PAVEMENT MARKING'!W329</f>
        <v>432</v>
      </c>
      <c r="R31" s="111">
        <f>'PAVEMENT MARKING'!X329</f>
        <v>0</v>
      </c>
      <c r="S31" s="111">
        <f>'PAVEMENT MARKING'!Y329</f>
        <v>0</v>
      </c>
      <c r="T31" s="109">
        <f>'PAVEMENT MARKING'!Z329</f>
        <v>0</v>
      </c>
      <c r="U31" s="110">
        <f>'PAVEMENT MARKING'!AA329</f>
        <v>0</v>
      </c>
      <c r="V31" s="110">
        <f>'PAVEMENT MARKING'!AB329</f>
        <v>0</v>
      </c>
      <c r="W31" s="110">
        <f>'PAVEMENT MARKING'!AC329</f>
        <v>0</v>
      </c>
      <c r="X31" s="110">
        <f>'PAVEMENT MARKING'!AD329</f>
        <v>0</v>
      </c>
      <c r="Y31" s="110">
        <f>'PAVEMENT MARKING'!AE329</f>
        <v>0</v>
      </c>
      <c r="Z31" s="110">
        <f>'PAVEMENT MARKING'!AF329</f>
        <v>0</v>
      </c>
      <c r="AA31" s="112">
        <f>'PAVEMENT MARKING'!AG329</f>
        <v>0</v>
      </c>
    </row>
    <row r="32" spans="1:27" x14ac:dyDescent="0.2">
      <c r="A32" s="5"/>
      <c r="B32" s="21"/>
      <c r="C32" s="5"/>
      <c r="D32" s="135"/>
      <c r="E32" s="113"/>
      <c r="F32" s="114"/>
      <c r="G32" s="110"/>
      <c r="H32" s="110"/>
      <c r="I32" s="111"/>
      <c r="J32" s="111"/>
      <c r="K32" s="111"/>
      <c r="L32" s="111"/>
      <c r="M32" s="111"/>
      <c r="N32" s="114"/>
      <c r="O32" s="114"/>
      <c r="P32" s="114"/>
      <c r="Q32" s="111"/>
      <c r="R32" s="111"/>
      <c r="S32" s="111"/>
      <c r="T32" s="114"/>
      <c r="U32" s="110"/>
      <c r="V32" s="110"/>
      <c r="W32" s="110"/>
      <c r="X32" s="110"/>
      <c r="Y32" s="110"/>
      <c r="Z32" s="110"/>
      <c r="AA32" s="112"/>
    </row>
    <row r="33" spans="1:27" x14ac:dyDescent="0.2">
      <c r="A33" s="5"/>
      <c r="B33" s="21"/>
      <c r="C33" s="5"/>
      <c r="D33" s="135" t="s">
        <v>715</v>
      </c>
      <c r="E33" s="108">
        <f>'PAVEMENT MARKING'!K411</f>
        <v>81</v>
      </c>
      <c r="F33" s="109">
        <f>'PAVEMENT MARKING'!L411</f>
        <v>0</v>
      </c>
      <c r="G33" s="110">
        <f>'PAVEMENT MARKING'!M411</f>
        <v>1.230113636363636</v>
      </c>
      <c r="H33" s="110">
        <f>'PAVEMENT MARKING'!N411</f>
        <v>0.76420454545454541</v>
      </c>
      <c r="I33" s="111">
        <f>'PAVEMENT MARKING'!O411</f>
        <v>0</v>
      </c>
      <c r="J33" s="111">
        <f>'PAVEMENT MARKING'!P411</f>
        <v>0</v>
      </c>
      <c r="K33" s="111">
        <f>'PAVEMENT MARKING'!Q411</f>
        <v>80</v>
      </c>
      <c r="L33" s="111">
        <f>'PAVEMENT MARKING'!R411</f>
        <v>0</v>
      </c>
      <c r="M33" s="111">
        <f>'PAVEMENT MARKING'!S411</f>
        <v>0</v>
      </c>
      <c r="N33" s="109">
        <f>'PAVEMENT MARKING'!T411</f>
        <v>0</v>
      </c>
      <c r="O33" s="109">
        <f>'PAVEMENT MARKING'!U411</f>
        <v>0</v>
      </c>
      <c r="P33" s="109">
        <f>'PAVEMENT MARKING'!V411</f>
        <v>0</v>
      </c>
      <c r="Q33" s="111">
        <f>'PAVEMENT MARKING'!W411</f>
        <v>0</v>
      </c>
      <c r="R33" s="111">
        <f>'PAVEMENT MARKING'!X411</f>
        <v>0</v>
      </c>
      <c r="S33" s="111">
        <f>'PAVEMENT MARKING'!Y411</f>
        <v>0</v>
      </c>
      <c r="T33" s="109">
        <f>'PAVEMENT MARKING'!Z411</f>
        <v>0</v>
      </c>
      <c r="U33" s="110">
        <f>'PAVEMENT MARKING'!AA411</f>
        <v>0</v>
      </c>
      <c r="V33" s="110">
        <f>'PAVEMENT MARKING'!AB411</f>
        <v>0</v>
      </c>
      <c r="W33" s="110">
        <f>'PAVEMENT MARKING'!AC411</f>
        <v>0</v>
      </c>
      <c r="X33" s="110">
        <f>'PAVEMENT MARKING'!AD411</f>
        <v>0</v>
      </c>
      <c r="Y33" s="110">
        <f>'PAVEMENT MARKING'!AE411</f>
        <v>0</v>
      </c>
      <c r="Z33" s="110">
        <f>'PAVEMENT MARKING'!AF411</f>
        <v>0</v>
      </c>
      <c r="AA33" s="112">
        <f>'PAVEMENT MARKING'!AG411</f>
        <v>0</v>
      </c>
    </row>
    <row r="34" spans="1:27" x14ac:dyDescent="0.2">
      <c r="A34" s="5"/>
      <c r="B34" s="21"/>
      <c r="C34" s="5"/>
      <c r="D34" s="135"/>
      <c r="E34" s="113"/>
      <c r="F34" s="114"/>
      <c r="G34" s="110"/>
      <c r="H34" s="110"/>
      <c r="I34" s="111"/>
      <c r="J34" s="111"/>
      <c r="K34" s="111"/>
      <c r="L34" s="111"/>
      <c r="M34" s="111"/>
      <c r="N34" s="114"/>
      <c r="O34" s="114"/>
      <c r="P34" s="114"/>
      <c r="Q34" s="111"/>
      <c r="R34" s="111"/>
      <c r="S34" s="111"/>
      <c r="T34" s="114"/>
      <c r="U34" s="110"/>
      <c r="V34" s="110"/>
      <c r="W34" s="110"/>
      <c r="X34" s="110"/>
      <c r="Y34" s="110"/>
      <c r="Z34" s="110"/>
      <c r="AA34" s="112"/>
    </row>
    <row r="35" spans="1:27" x14ac:dyDescent="0.2">
      <c r="A35" s="5"/>
      <c r="B35" s="21"/>
      <c r="C35" s="5"/>
      <c r="D35" s="135" t="s">
        <v>716</v>
      </c>
      <c r="E35" s="108">
        <f>'PAVEMENT MARKING'!K494</f>
        <v>32</v>
      </c>
      <c r="F35" s="109">
        <f>'PAVEMENT MARKING'!L494</f>
        <v>0</v>
      </c>
      <c r="G35" s="110">
        <f>'PAVEMENT MARKING'!M494</f>
        <v>5.1893939393939388E-2</v>
      </c>
      <c r="H35" s="110">
        <f>'PAVEMENT MARKING'!N494</f>
        <v>2.9545454545454541E-2</v>
      </c>
      <c r="I35" s="111">
        <f>'PAVEMENT MARKING'!O494</f>
        <v>387</v>
      </c>
      <c r="J35" s="111">
        <f>'PAVEMENT MARKING'!P494</f>
        <v>0</v>
      </c>
      <c r="K35" s="111">
        <f>'PAVEMENT MARKING'!Q494</f>
        <v>0</v>
      </c>
      <c r="L35" s="111">
        <f>'PAVEMENT MARKING'!R494</f>
        <v>80</v>
      </c>
      <c r="M35" s="111">
        <f>'PAVEMENT MARKING'!S494</f>
        <v>9</v>
      </c>
      <c r="N35" s="109">
        <f>'PAVEMENT MARKING'!T494</f>
        <v>1</v>
      </c>
      <c r="O35" s="109">
        <f>'PAVEMENT MARKING'!U494</f>
        <v>14</v>
      </c>
      <c r="P35" s="109">
        <f>'PAVEMENT MARKING'!V494</f>
        <v>0</v>
      </c>
      <c r="Q35" s="111">
        <f>'PAVEMENT MARKING'!W494</f>
        <v>386</v>
      </c>
      <c r="R35" s="111">
        <f>'PAVEMENT MARKING'!X494</f>
        <v>16</v>
      </c>
      <c r="S35" s="111">
        <f>'PAVEMENT MARKING'!Y494</f>
        <v>0</v>
      </c>
      <c r="T35" s="109">
        <f>'PAVEMENT MARKING'!Z494</f>
        <v>0</v>
      </c>
      <c r="U35" s="110">
        <f>'PAVEMENT MARKING'!AA494</f>
        <v>0</v>
      </c>
      <c r="V35" s="110">
        <f>'PAVEMENT MARKING'!AB494</f>
        <v>0</v>
      </c>
      <c r="W35" s="110">
        <f>'PAVEMENT MARKING'!AC494</f>
        <v>0</v>
      </c>
      <c r="X35" s="110">
        <f>'PAVEMENT MARKING'!AD494</f>
        <v>0</v>
      </c>
      <c r="Y35" s="110">
        <f>'PAVEMENT MARKING'!AE494</f>
        <v>0</v>
      </c>
      <c r="Z35" s="110">
        <f>'PAVEMENT MARKING'!AF494</f>
        <v>0</v>
      </c>
      <c r="AA35" s="112">
        <f>'PAVEMENT MARKING'!AG494</f>
        <v>0</v>
      </c>
    </row>
    <row r="36" spans="1:27" x14ac:dyDescent="0.2">
      <c r="A36" s="5"/>
      <c r="B36" s="21"/>
      <c r="C36" s="5"/>
      <c r="D36" s="135"/>
      <c r="E36" s="113"/>
      <c r="F36" s="114"/>
      <c r="G36" s="110"/>
      <c r="H36" s="110"/>
      <c r="I36" s="111"/>
      <c r="J36" s="111"/>
      <c r="K36" s="111"/>
      <c r="L36" s="111"/>
      <c r="M36" s="111"/>
      <c r="N36" s="114"/>
      <c r="O36" s="114"/>
      <c r="P36" s="114"/>
      <c r="Q36" s="111"/>
      <c r="R36" s="111"/>
      <c r="S36" s="111"/>
      <c r="T36" s="114"/>
      <c r="U36" s="110"/>
      <c r="V36" s="110"/>
      <c r="W36" s="110"/>
      <c r="X36" s="110"/>
      <c r="Y36" s="110"/>
      <c r="Z36" s="110"/>
      <c r="AA36" s="112"/>
    </row>
    <row r="37" spans="1:27" x14ac:dyDescent="0.2">
      <c r="A37" s="5"/>
      <c r="B37" s="21"/>
      <c r="C37" s="5"/>
      <c r="D37" s="135" t="s">
        <v>717</v>
      </c>
      <c r="E37" s="108">
        <f>'PAVEMENT MARKING'!K576</f>
        <v>44</v>
      </c>
      <c r="F37" s="109">
        <f>'PAVEMENT MARKING'!L576</f>
        <v>0</v>
      </c>
      <c r="G37" s="110">
        <f>'PAVEMENT MARKING'!M576</f>
        <v>0.42234848484848481</v>
      </c>
      <c r="H37" s="110">
        <f>'PAVEMENT MARKING'!N576</f>
        <v>0.3041666666666667</v>
      </c>
      <c r="I37" s="111">
        <f>'PAVEMENT MARKING'!O576</f>
        <v>504</v>
      </c>
      <c r="J37" s="111">
        <f>'PAVEMENT MARKING'!P576</f>
        <v>24</v>
      </c>
      <c r="K37" s="111">
        <f>'PAVEMENT MARKING'!Q576</f>
        <v>0</v>
      </c>
      <c r="L37" s="111">
        <f>'PAVEMENT MARKING'!R576</f>
        <v>0</v>
      </c>
      <c r="M37" s="111">
        <f>'PAVEMENT MARKING'!S576</f>
        <v>34</v>
      </c>
      <c r="N37" s="109">
        <f>'PAVEMENT MARKING'!T576</f>
        <v>1</v>
      </c>
      <c r="O37" s="109">
        <f>'PAVEMENT MARKING'!U576</f>
        <v>8</v>
      </c>
      <c r="P37" s="109">
        <f>'PAVEMENT MARKING'!V576</f>
        <v>1</v>
      </c>
      <c r="Q37" s="111">
        <f>'PAVEMENT MARKING'!W576</f>
        <v>0</v>
      </c>
      <c r="R37" s="111">
        <f>'PAVEMENT MARKING'!X576</f>
        <v>76</v>
      </c>
      <c r="S37" s="111">
        <f>'PAVEMENT MARKING'!Y576</f>
        <v>110</v>
      </c>
      <c r="T37" s="109">
        <f>'PAVEMENT MARKING'!Z576</f>
        <v>2</v>
      </c>
      <c r="U37" s="110">
        <f>'PAVEMENT MARKING'!AA576</f>
        <v>0</v>
      </c>
      <c r="V37" s="110">
        <f>'PAVEMENT MARKING'!AB576</f>
        <v>0</v>
      </c>
      <c r="W37" s="110">
        <f>'PAVEMENT MARKING'!AC576</f>
        <v>0</v>
      </c>
      <c r="X37" s="110">
        <f>'PAVEMENT MARKING'!AD576</f>
        <v>0</v>
      </c>
      <c r="Y37" s="110">
        <f>'PAVEMENT MARKING'!AE576</f>
        <v>0</v>
      </c>
      <c r="Z37" s="110">
        <f>'PAVEMENT MARKING'!AF576</f>
        <v>0</v>
      </c>
      <c r="AA37" s="112">
        <f>'PAVEMENT MARKING'!AG576</f>
        <v>0</v>
      </c>
    </row>
    <row r="38" spans="1:27" x14ac:dyDescent="0.2">
      <c r="A38" s="5"/>
      <c r="B38" s="21"/>
      <c r="C38" s="5"/>
      <c r="D38" s="135"/>
      <c r="E38" s="113"/>
      <c r="F38" s="114"/>
      <c r="G38" s="110"/>
      <c r="H38" s="110"/>
      <c r="I38" s="111"/>
      <c r="J38" s="111"/>
      <c r="K38" s="111"/>
      <c r="L38" s="111"/>
      <c r="M38" s="111"/>
      <c r="N38" s="114"/>
      <c r="O38" s="114"/>
      <c r="P38" s="114"/>
      <c r="Q38" s="111"/>
      <c r="R38" s="111"/>
      <c r="S38" s="111"/>
      <c r="T38" s="114"/>
      <c r="U38" s="110"/>
      <c r="V38" s="110"/>
      <c r="W38" s="110"/>
      <c r="X38" s="110"/>
      <c r="Y38" s="110"/>
      <c r="Z38" s="110"/>
      <c r="AA38" s="112"/>
    </row>
    <row r="39" spans="1:27" x14ac:dyDescent="0.2">
      <c r="A39" s="5"/>
      <c r="B39" s="21"/>
      <c r="C39" s="5"/>
      <c r="D39" s="135" t="s">
        <v>718</v>
      </c>
      <c r="E39" s="108">
        <f>'PAVEMENT MARKING'!K658</f>
        <v>3</v>
      </c>
      <c r="F39" s="109">
        <f>'PAVEMENT MARKING'!L658</f>
        <v>0</v>
      </c>
      <c r="G39" s="110">
        <f>'PAVEMENT MARKING'!M658</f>
        <v>3.787878787878788E-2</v>
      </c>
      <c r="H39" s="110">
        <f>'PAVEMENT MARKING'!N658</f>
        <v>3.125E-2</v>
      </c>
      <c r="I39" s="111">
        <f>'PAVEMENT MARKING'!O658</f>
        <v>0</v>
      </c>
      <c r="J39" s="111">
        <f>'PAVEMENT MARKING'!P658</f>
        <v>12</v>
      </c>
      <c r="K39" s="111">
        <f>'PAVEMENT MARKING'!Q658</f>
        <v>0</v>
      </c>
      <c r="L39" s="111">
        <f>'PAVEMENT MARKING'!R658</f>
        <v>0</v>
      </c>
      <c r="M39" s="111">
        <f>'PAVEMENT MARKING'!S658</f>
        <v>8</v>
      </c>
      <c r="N39" s="109">
        <f>'PAVEMENT MARKING'!T658</f>
        <v>0</v>
      </c>
      <c r="O39" s="109">
        <f>'PAVEMENT MARKING'!U658</f>
        <v>0</v>
      </c>
      <c r="P39" s="109">
        <f>'PAVEMENT MARKING'!V658</f>
        <v>0</v>
      </c>
      <c r="Q39" s="111">
        <f>'PAVEMENT MARKING'!W658</f>
        <v>0</v>
      </c>
      <c r="R39" s="111">
        <f>'PAVEMENT MARKING'!X658</f>
        <v>0</v>
      </c>
      <c r="S39" s="111">
        <f>'PAVEMENT MARKING'!Y658</f>
        <v>0</v>
      </c>
      <c r="T39" s="109">
        <f>'PAVEMENT MARKING'!Z658</f>
        <v>0</v>
      </c>
      <c r="U39" s="110">
        <f>'PAVEMENT MARKING'!AA658</f>
        <v>5.0757575757575752</v>
      </c>
      <c r="V39" s="110">
        <f>'PAVEMENT MARKING'!AB658</f>
        <v>3.5606060606060606E-2</v>
      </c>
      <c r="W39" s="110">
        <f>'PAVEMENT MARKING'!AC658</f>
        <v>5.0757575757575752</v>
      </c>
      <c r="X39" s="110">
        <f>'PAVEMENT MARKING'!AD658</f>
        <v>3.5606060606060606E-2</v>
      </c>
      <c r="Y39" s="110">
        <f>'PAVEMENT MARKING'!AE658</f>
        <v>3.709469696969697</v>
      </c>
      <c r="Z39" s="110">
        <f>'PAVEMENT MARKING'!AF658</f>
        <v>1.7803030303030303E-2</v>
      </c>
      <c r="AA39" s="112">
        <f>'PAVEMENT MARKING'!AG658</f>
        <v>3.709469696969697</v>
      </c>
    </row>
    <row r="40" spans="1:27" x14ac:dyDescent="0.2">
      <c r="A40" s="5"/>
      <c r="B40" s="21"/>
      <c r="C40" s="5"/>
      <c r="D40" s="136"/>
      <c r="E40" s="113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1"/>
      <c r="R40" s="111"/>
      <c r="S40" s="111"/>
      <c r="T40" s="114"/>
      <c r="U40" s="110"/>
      <c r="V40" s="110"/>
      <c r="W40" s="110"/>
      <c r="X40" s="110"/>
      <c r="Y40" s="110"/>
      <c r="Z40" s="110"/>
      <c r="AA40" s="112"/>
    </row>
    <row r="41" spans="1:27" ht="15" x14ac:dyDescent="0.2">
      <c r="A41" s="5"/>
      <c r="B41" s="21"/>
      <c r="C41" s="5"/>
      <c r="D41" s="143" t="s">
        <v>700</v>
      </c>
      <c r="E41" s="115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7"/>
      <c r="R41" s="117"/>
      <c r="S41" s="117"/>
      <c r="T41" s="116"/>
      <c r="U41" s="118"/>
      <c r="V41" s="118"/>
      <c r="W41" s="118"/>
      <c r="X41" s="119"/>
      <c r="Y41" s="119"/>
      <c r="Z41" s="118"/>
      <c r="AA41" s="120"/>
    </row>
    <row r="42" spans="1:27" ht="15" x14ac:dyDescent="0.2">
      <c r="A42" s="5"/>
      <c r="B42" s="21"/>
      <c r="C42" s="5"/>
      <c r="D42" s="143" t="s">
        <v>701</v>
      </c>
      <c r="E42" s="121">
        <f>'PAVEMENT MARKING'!K85+'PAVEMENT MARKING'!K166+'PAVEMENT MARKING'!K248+'PAVEMENT MARKING'!K330+'PAVEMENT MARKING'!K412+'PAVEMENT MARKING'!K495+'PAVEMENT MARKING'!K577+'PAVEMENT MARKING'!K659</f>
        <v>229</v>
      </c>
      <c r="F42" s="122">
        <f>'PAVEMENT MARKING'!L85+'PAVEMENT MARKING'!L166+'PAVEMENT MARKING'!L248+'PAVEMENT MARKING'!L330+'PAVEMENT MARKING'!L412+'PAVEMENT MARKING'!L495+'PAVEMENT MARKING'!L577+'PAVEMENT MARKING'!L659</f>
        <v>42</v>
      </c>
      <c r="G42" s="118">
        <f>'PAVEMENT MARKING'!M85+'PAVEMENT MARKING'!M166+'PAVEMENT MARKING'!M248+'PAVEMENT MARKING'!M330+'PAVEMENT MARKING'!M412+'PAVEMENT MARKING'!M495+'PAVEMENT MARKING'!M577+'PAVEMENT MARKING'!M659</f>
        <v>2.316193181818182</v>
      </c>
      <c r="H42" s="118">
        <f>'PAVEMENT MARKING'!N85+'PAVEMENT MARKING'!N166+'PAVEMENT MARKING'!N248+'PAVEMENT MARKING'!N330+'PAVEMENT MARKING'!N412+'PAVEMENT MARKING'!N495+'PAVEMENT MARKING'!N577+'PAVEMENT MARKING'!N659</f>
        <v>1.2106060606060607</v>
      </c>
      <c r="I42" s="117">
        <f>'PAVEMENT MARKING'!O85+'PAVEMENT MARKING'!O166+'PAVEMENT MARKING'!O248+'PAVEMENT MARKING'!O330+'PAVEMENT MARKING'!O412+'PAVEMENT MARKING'!O495+'PAVEMENT MARKING'!O577+'PAVEMENT MARKING'!O659</f>
        <v>891</v>
      </c>
      <c r="J42" s="117">
        <f>'PAVEMENT MARKING'!P85+'PAVEMENT MARKING'!P166+'PAVEMENT MARKING'!P248+'PAVEMENT MARKING'!P330+'PAVEMENT MARKING'!P412+'PAVEMENT MARKING'!P495+'PAVEMENT MARKING'!P577+'PAVEMENT MARKING'!P659</f>
        <v>24</v>
      </c>
      <c r="K42" s="117">
        <f>'PAVEMENT MARKING'!Q85+'PAVEMENT MARKING'!Q166+'PAVEMENT MARKING'!Q248+'PAVEMENT MARKING'!Q330+'PAVEMENT MARKING'!Q412+'PAVEMENT MARKING'!Q495+'PAVEMENT MARKING'!Q577+'PAVEMENT MARKING'!Q659</f>
        <v>0</v>
      </c>
      <c r="L42" s="117">
        <f>'PAVEMENT MARKING'!R85+'PAVEMENT MARKING'!R166+'PAVEMENT MARKING'!R248+'PAVEMENT MARKING'!R330+'PAVEMENT MARKING'!R412+'PAVEMENT MARKING'!R495+'PAVEMENT MARKING'!R577+'PAVEMENT MARKING'!R659</f>
        <v>160</v>
      </c>
      <c r="M42" s="117">
        <f>'PAVEMENT MARKING'!S85+'PAVEMENT MARKING'!S166+'PAVEMENT MARKING'!S248+'PAVEMENT MARKING'!S330+'PAVEMENT MARKING'!S412+'PAVEMENT MARKING'!S495+'PAVEMENT MARKING'!S577+'PAVEMENT MARKING'!S659</f>
        <v>265</v>
      </c>
      <c r="N42" s="122">
        <f>'PAVEMENT MARKING'!T85+'PAVEMENT MARKING'!T166+'PAVEMENT MARKING'!T248+'PAVEMENT MARKING'!T330+'PAVEMENT MARKING'!T412+'PAVEMENT MARKING'!T495+'PAVEMENT MARKING'!T577+'PAVEMENT MARKING'!T659</f>
        <v>2</v>
      </c>
      <c r="O42" s="122">
        <f>'PAVEMENT MARKING'!U85+'PAVEMENT MARKING'!U166+'PAVEMENT MARKING'!U248+'PAVEMENT MARKING'!U330+'PAVEMENT MARKING'!U412+'PAVEMENT MARKING'!U495+'PAVEMENT MARKING'!U577+'PAVEMENT MARKING'!U659</f>
        <v>22</v>
      </c>
      <c r="P42" s="122">
        <f>'PAVEMENT MARKING'!V85+'PAVEMENT MARKING'!V166+'PAVEMENT MARKING'!V248+'PAVEMENT MARKING'!V330+'PAVEMENT MARKING'!V412+'PAVEMENT MARKING'!V495+'PAVEMENT MARKING'!V577+'PAVEMENT MARKING'!V659</f>
        <v>1</v>
      </c>
      <c r="Q42" s="117">
        <f>'PAVEMENT MARKING'!W85+'PAVEMENT MARKING'!W166+'PAVEMENT MARKING'!W248+'PAVEMENT MARKING'!W330+'PAVEMENT MARKING'!W412+'PAVEMENT MARKING'!W495+'PAVEMENT MARKING'!W577+'PAVEMENT MARKING'!W659</f>
        <v>500</v>
      </c>
      <c r="R42" s="117">
        <f>'PAVEMENT MARKING'!X85+'PAVEMENT MARKING'!X166+'PAVEMENT MARKING'!X248+'PAVEMENT MARKING'!X330+'PAVEMENT MARKING'!X412+'PAVEMENT MARKING'!X495+'PAVEMENT MARKING'!X577+'PAVEMENT MARKING'!X659</f>
        <v>52</v>
      </c>
      <c r="S42" s="117">
        <f>'PAVEMENT MARKING'!Y85+'PAVEMENT MARKING'!Y166+'PAVEMENT MARKING'!Y248+'PAVEMENT MARKING'!Y330+'PAVEMENT MARKING'!Y412+'PAVEMENT MARKING'!Y495+'PAVEMENT MARKING'!Y577+'PAVEMENT MARKING'!Y659</f>
        <v>41</v>
      </c>
      <c r="T42" s="122">
        <f>'PAVEMENT MARKING'!Z85+'PAVEMENT MARKING'!Z166+'PAVEMENT MARKING'!Z248+'PAVEMENT MARKING'!Z330+'PAVEMENT MARKING'!Z412+'PAVEMENT MARKING'!Z495+'PAVEMENT MARKING'!Z577+'PAVEMENT MARKING'!Z659</f>
        <v>0</v>
      </c>
      <c r="U42" s="118">
        <f>'PAVEMENT MARKING'!AA85+'PAVEMENT MARKING'!AA166+'PAVEMENT MARKING'!AA248+'PAVEMENT MARKING'!AA330+'PAVEMENT MARKING'!AA412+'PAVEMENT MARKING'!AA495+'PAVEMENT MARKING'!AA577+'PAVEMENT MARKING'!AA659</f>
        <v>1.5484848484848484</v>
      </c>
      <c r="V42" s="118">
        <f>'PAVEMENT MARKING'!AB85+'PAVEMENT MARKING'!AB166+'PAVEMENT MARKING'!AB248+'PAVEMENT MARKING'!AB330+'PAVEMENT MARKING'!AB412+'PAVEMENT MARKING'!AB495+'PAVEMENT MARKING'!AB577+'PAVEMENT MARKING'!AB659</f>
        <v>0</v>
      </c>
      <c r="W42" s="118">
        <f>'PAVEMENT MARKING'!AC85+'PAVEMENT MARKING'!AC166+'PAVEMENT MARKING'!AC248+'PAVEMENT MARKING'!AC330+'PAVEMENT MARKING'!AC412+'PAVEMENT MARKING'!AC495+'PAVEMENT MARKING'!AC577+'PAVEMENT MARKING'!AC659</f>
        <v>1.5484848484848484</v>
      </c>
      <c r="X42" s="118">
        <f>'PAVEMENT MARKING'!AD85+'PAVEMENT MARKING'!AD166+'PAVEMENT MARKING'!AD248+'PAVEMENT MARKING'!AD330+'PAVEMENT MARKING'!AD412+'PAVEMENT MARKING'!AD495+'PAVEMENT MARKING'!AD577+'PAVEMENT MARKING'!AD659</f>
        <v>0</v>
      </c>
      <c r="Y42" s="118">
        <f>'PAVEMENT MARKING'!AE85+'PAVEMENT MARKING'!AE166+'PAVEMENT MARKING'!AE248+'PAVEMENT MARKING'!AE330+'PAVEMENT MARKING'!AE412+'PAVEMENT MARKING'!AE495+'PAVEMENT MARKING'!AE577+'PAVEMENT MARKING'!AE659</f>
        <v>1.0278409090909091</v>
      </c>
      <c r="Z42" s="118">
        <f>'PAVEMENT MARKING'!AF85+'PAVEMENT MARKING'!AF166+'PAVEMENT MARKING'!AF248+'PAVEMENT MARKING'!AF330+'PAVEMENT MARKING'!AF412+'PAVEMENT MARKING'!AF495+'PAVEMENT MARKING'!AF577+'PAVEMENT MARKING'!AF659</f>
        <v>1.7803030303030303E-2</v>
      </c>
      <c r="AA42" s="120">
        <f>'PAVEMENT MARKING'!AG85+'PAVEMENT MARKING'!AG166+'PAVEMENT MARKING'!AG248+'PAVEMENT MARKING'!AG330+'PAVEMENT MARKING'!AG412+'PAVEMENT MARKING'!AG495+'PAVEMENT MARKING'!AG577+'PAVEMENT MARKING'!AG659</f>
        <v>1.0278409090909091</v>
      </c>
    </row>
    <row r="43" spans="1:27" ht="15" x14ac:dyDescent="0.2">
      <c r="A43" s="5"/>
      <c r="B43" s="21"/>
      <c r="C43" s="5"/>
      <c r="D43" s="143" t="s">
        <v>702</v>
      </c>
      <c r="E43" s="121">
        <f>'PAVEMENT MARKING'!K86+'PAVEMENT MARKING'!K167+'PAVEMENT MARKING'!K249+'PAVEMENT MARKING'!K331+'PAVEMENT MARKING'!K413+'PAVEMENT MARKING'!K496+'PAVEMENT MARKING'!K578+'PAVEMENT MARKING'!K660</f>
        <v>195</v>
      </c>
      <c r="F43" s="122">
        <f>'PAVEMENT MARKING'!L86+'PAVEMENT MARKING'!L167+'PAVEMENT MARKING'!L249+'PAVEMENT MARKING'!L331+'PAVEMENT MARKING'!L413+'PAVEMENT MARKING'!L496+'PAVEMENT MARKING'!L578+'PAVEMENT MARKING'!L660</f>
        <v>107</v>
      </c>
      <c r="G43" s="118">
        <f>'PAVEMENT MARKING'!M86+'PAVEMENT MARKING'!M167+'PAVEMENT MARKING'!M249+'PAVEMENT MARKING'!M331+'PAVEMENT MARKING'!M413+'PAVEMENT MARKING'!M496+'PAVEMENT MARKING'!M578+'PAVEMENT MARKING'!M660</f>
        <v>3.4933712121212119</v>
      </c>
      <c r="H43" s="118">
        <f>'PAVEMENT MARKING'!N86+'PAVEMENT MARKING'!N167+'PAVEMENT MARKING'!N249+'PAVEMENT MARKING'!N331+'PAVEMENT MARKING'!N413+'PAVEMENT MARKING'!N496+'PAVEMENT MARKING'!N578+'PAVEMENT MARKING'!N660</f>
        <v>2.5087121212121213</v>
      </c>
      <c r="I43" s="117">
        <f>'PAVEMENT MARKING'!O86+'PAVEMENT MARKING'!O167+'PAVEMENT MARKING'!O249+'PAVEMENT MARKING'!O331+'PAVEMENT MARKING'!O413+'PAVEMENT MARKING'!O496+'PAVEMENT MARKING'!O578+'PAVEMENT MARKING'!O660</f>
        <v>728</v>
      </c>
      <c r="J43" s="117">
        <f>'PAVEMENT MARKING'!P86+'PAVEMENT MARKING'!P167+'PAVEMENT MARKING'!P249+'PAVEMENT MARKING'!P331+'PAVEMENT MARKING'!P413+'PAVEMENT MARKING'!P496+'PAVEMENT MARKING'!P578+'PAVEMENT MARKING'!P660</f>
        <v>53</v>
      </c>
      <c r="K43" s="117">
        <f>'PAVEMENT MARKING'!Q86+'PAVEMENT MARKING'!Q167+'PAVEMENT MARKING'!Q249+'PAVEMENT MARKING'!Q331+'PAVEMENT MARKING'!Q413+'PAVEMENT MARKING'!Q496+'PAVEMENT MARKING'!Q578+'PAVEMENT MARKING'!Q660</f>
        <v>468</v>
      </c>
      <c r="L43" s="117">
        <f>'PAVEMENT MARKING'!R86+'PAVEMENT MARKING'!R167+'PAVEMENT MARKING'!R249+'PAVEMENT MARKING'!R331+'PAVEMENT MARKING'!R413+'PAVEMENT MARKING'!R496+'PAVEMENT MARKING'!R578+'PAVEMENT MARKING'!R660</f>
        <v>50</v>
      </c>
      <c r="M43" s="117">
        <f>'PAVEMENT MARKING'!S86+'PAVEMENT MARKING'!S167+'PAVEMENT MARKING'!S249+'PAVEMENT MARKING'!S331+'PAVEMENT MARKING'!S413+'PAVEMENT MARKING'!S496+'PAVEMENT MARKING'!S578+'PAVEMENT MARKING'!S660</f>
        <v>207</v>
      </c>
      <c r="N43" s="122">
        <f>'PAVEMENT MARKING'!T86+'PAVEMENT MARKING'!T167+'PAVEMENT MARKING'!T249+'PAVEMENT MARKING'!T331+'PAVEMENT MARKING'!T413+'PAVEMENT MARKING'!T496+'PAVEMENT MARKING'!T578+'PAVEMENT MARKING'!T660</f>
        <v>0</v>
      </c>
      <c r="O43" s="122">
        <f>'PAVEMENT MARKING'!U86+'PAVEMENT MARKING'!U167+'PAVEMENT MARKING'!U249+'PAVEMENT MARKING'!U331+'PAVEMENT MARKING'!U413+'PAVEMENT MARKING'!U496+'PAVEMENT MARKING'!U578+'PAVEMENT MARKING'!U660</f>
        <v>4</v>
      </c>
      <c r="P43" s="122">
        <f>'PAVEMENT MARKING'!V86+'PAVEMENT MARKING'!V167+'PAVEMENT MARKING'!V249+'PAVEMENT MARKING'!V331+'PAVEMENT MARKING'!V413+'PAVEMENT MARKING'!V496+'PAVEMENT MARKING'!V578+'PAVEMENT MARKING'!V660</f>
        <v>0</v>
      </c>
      <c r="Q43" s="117">
        <f>'PAVEMENT MARKING'!W86+'PAVEMENT MARKING'!W167+'PAVEMENT MARKING'!W249+'PAVEMENT MARKING'!W331+'PAVEMENT MARKING'!W413+'PAVEMENT MARKING'!W496+'PAVEMENT MARKING'!W578+'PAVEMENT MARKING'!W660</f>
        <v>432</v>
      </c>
      <c r="R43" s="117">
        <f>'PAVEMENT MARKING'!X86+'PAVEMENT MARKING'!X167+'PAVEMENT MARKING'!X249+'PAVEMENT MARKING'!X331+'PAVEMENT MARKING'!X413+'PAVEMENT MARKING'!X496+'PAVEMENT MARKING'!X578+'PAVEMENT MARKING'!X660</f>
        <v>0</v>
      </c>
      <c r="S43" s="117">
        <f>'PAVEMENT MARKING'!Y86+'PAVEMENT MARKING'!Y167+'PAVEMENT MARKING'!Y249+'PAVEMENT MARKING'!Y331+'PAVEMENT MARKING'!Y413+'PAVEMENT MARKING'!Y496+'PAVEMENT MARKING'!Y578+'PAVEMENT MARKING'!Y660</f>
        <v>0</v>
      </c>
      <c r="T43" s="122">
        <f>'PAVEMENT MARKING'!Z86+'PAVEMENT MARKING'!Z167+'PAVEMENT MARKING'!Z249+'PAVEMENT MARKING'!Z331+'PAVEMENT MARKING'!Z413+'PAVEMENT MARKING'!Z496+'PAVEMENT MARKING'!Z578+'PAVEMENT MARKING'!Z660</f>
        <v>0</v>
      </c>
      <c r="U43" s="118">
        <f>'PAVEMENT MARKING'!AA86+'PAVEMENT MARKING'!AA167+'PAVEMENT MARKING'!AA249+'PAVEMENT MARKING'!AA331+'PAVEMENT MARKING'!AA413+'PAVEMENT MARKING'!AA496+'PAVEMENT MARKING'!AA578+'PAVEMENT MARKING'!AA660</f>
        <v>3.5272727272727273</v>
      </c>
      <c r="V43" s="118">
        <f>'PAVEMENT MARKING'!AB86+'PAVEMENT MARKING'!AB167+'PAVEMENT MARKING'!AB249+'PAVEMENT MARKING'!AB331+'PAVEMENT MARKING'!AB413+'PAVEMENT MARKING'!AB496+'PAVEMENT MARKING'!AB578+'PAVEMENT MARKING'!AB660</f>
        <v>0</v>
      </c>
      <c r="W43" s="118">
        <f>'PAVEMENT MARKING'!AC86+'PAVEMENT MARKING'!AC167+'PAVEMENT MARKING'!AC249+'PAVEMENT MARKING'!AC331+'PAVEMENT MARKING'!AC413+'PAVEMENT MARKING'!AC496+'PAVEMENT MARKING'!AC578+'PAVEMENT MARKING'!AC660</f>
        <v>3.5272727272727273</v>
      </c>
      <c r="X43" s="118">
        <f>'PAVEMENT MARKING'!AD86+'PAVEMENT MARKING'!AD167+'PAVEMENT MARKING'!AD249+'PAVEMENT MARKING'!AD331+'PAVEMENT MARKING'!AD413+'PAVEMENT MARKING'!AD496+'PAVEMENT MARKING'!AD578+'PAVEMENT MARKING'!AD660</f>
        <v>0</v>
      </c>
      <c r="Y43" s="118">
        <f>'PAVEMENT MARKING'!AE86+'PAVEMENT MARKING'!AE167+'PAVEMENT MARKING'!AE249+'PAVEMENT MARKING'!AE331+'PAVEMENT MARKING'!AE413+'PAVEMENT MARKING'!AE496+'PAVEMENT MARKING'!AE578+'PAVEMENT MARKING'!AE660</f>
        <v>2.6816287878787883</v>
      </c>
      <c r="Z43" s="118">
        <f>'PAVEMENT MARKING'!AF86+'PAVEMENT MARKING'!AF167+'PAVEMENT MARKING'!AF249+'PAVEMENT MARKING'!AF331+'PAVEMENT MARKING'!AF413+'PAVEMENT MARKING'!AF496+'PAVEMENT MARKING'!AF578+'PAVEMENT MARKING'!AF660</f>
        <v>0</v>
      </c>
      <c r="AA43" s="120">
        <f>'PAVEMENT MARKING'!AG86+'PAVEMENT MARKING'!AG167+'PAVEMENT MARKING'!AG249+'PAVEMENT MARKING'!AG331+'PAVEMENT MARKING'!AG413+'PAVEMENT MARKING'!AG496+'PAVEMENT MARKING'!AG578+'PAVEMENT MARKING'!AG660</f>
        <v>2.6816287878787883</v>
      </c>
    </row>
    <row r="44" spans="1:27" ht="15.75" thickBot="1" x14ac:dyDescent="0.25">
      <c r="A44" s="5"/>
      <c r="B44" s="21"/>
      <c r="C44" s="5"/>
      <c r="D44" s="143" t="s">
        <v>703</v>
      </c>
      <c r="E44" s="123">
        <f>'PAVEMENT MARKING'!K87+'PAVEMENT MARKING'!K168+'PAVEMENT MARKING'!K250+'PAVEMENT MARKING'!K332+'PAVEMENT MARKING'!K414+'PAVEMENT MARKING'!K497+'PAVEMENT MARKING'!K579+'PAVEMENT MARKING'!K661</f>
        <v>2</v>
      </c>
      <c r="F44" s="124">
        <f>'PAVEMENT MARKING'!L87+'PAVEMENT MARKING'!L168+'PAVEMENT MARKING'!L250+'PAVEMENT MARKING'!L332+'PAVEMENT MARKING'!L414+'PAVEMENT MARKING'!L497+'PAVEMENT MARKING'!L579+'PAVEMENT MARKING'!L661</f>
        <v>2</v>
      </c>
      <c r="G44" s="125">
        <f>'PAVEMENT MARKING'!M87+'PAVEMENT MARKING'!M168+'PAVEMENT MARKING'!M250+'PAVEMENT MARKING'!M332+'PAVEMENT MARKING'!M414+'PAVEMENT MARKING'!M497+'PAVEMENT MARKING'!M579+'PAVEMENT MARKING'!M661</f>
        <v>0</v>
      </c>
      <c r="H44" s="125">
        <f>'PAVEMENT MARKING'!N87+'PAVEMENT MARKING'!N168+'PAVEMENT MARKING'!N250+'PAVEMENT MARKING'!N332+'PAVEMENT MARKING'!N414+'PAVEMENT MARKING'!N497+'PAVEMENT MARKING'!N579+'PAVEMENT MARKING'!N661</f>
        <v>0</v>
      </c>
      <c r="I44" s="126">
        <f>'PAVEMENT MARKING'!O87+'PAVEMENT MARKING'!O168+'PAVEMENT MARKING'!O250+'PAVEMENT MARKING'!O332+'PAVEMENT MARKING'!O414+'PAVEMENT MARKING'!O497+'PAVEMENT MARKING'!O579+'PAVEMENT MARKING'!O661</f>
        <v>0</v>
      </c>
      <c r="J44" s="126">
        <f>'PAVEMENT MARKING'!P87+'PAVEMENT MARKING'!P168+'PAVEMENT MARKING'!P250+'PAVEMENT MARKING'!P332+'PAVEMENT MARKING'!P414+'PAVEMENT MARKING'!P497+'PAVEMENT MARKING'!P579+'PAVEMENT MARKING'!P661</f>
        <v>0</v>
      </c>
      <c r="K44" s="126">
        <f>'PAVEMENT MARKING'!Q87+'PAVEMENT MARKING'!Q168+'PAVEMENT MARKING'!Q250+'PAVEMENT MARKING'!Q332+'PAVEMENT MARKING'!Q414+'PAVEMENT MARKING'!Q497+'PAVEMENT MARKING'!Q579+'PAVEMENT MARKING'!Q661</f>
        <v>0</v>
      </c>
      <c r="L44" s="126">
        <f>'PAVEMENT MARKING'!R87+'PAVEMENT MARKING'!R168+'PAVEMENT MARKING'!R250+'PAVEMENT MARKING'!R332+'PAVEMENT MARKING'!R414+'PAVEMENT MARKING'!R497+'PAVEMENT MARKING'!R579+'PAVEMENT MARKING'!R661</f>
        <v>0</v>
      </c>
      <c r="M44" s="126">
        <f>'PAVEMENT MARKING'!S87+'PAVEMENT MARKING'!S168+'PAVEMENT MARKING'!S250+'PAVEMENT MARKING'!S332+'PAVEMENT MARKING'!S414+'PAVEMENT MARKING'!S497+'PAVEMENT MARKING'!S579+'PAVEMENT MARKING'!S661</f>
        <v>0</v>
      </c>
      <c r="N44" s="124">
        <f>'PAVEMENT MARKING'!T87+'PAVEMENT MARKING'!T168+'PAVEMENT MARKING'!T250+'PAVEMENT MARKING'!T332+'PAVEMENT MARKING'!T414+'PAVEMENT MARKING'!T497+'PAVEMENT MARKING'!T579+'PAVEMENT MARKING'!T661</f>
        <v>0</v>
      </c>
      <c r="O44" s="124">
        <f>'PAVEMENT MARKING'!U87+'PAVEMENT MARKING'!U168+'PAVEMENT MARKING'!U250+'PAVEMENT MARKING'!U332+'PAVEMENT MARKING'!U414+'PAVEMENT MARKING'!U497+'PAVEMENT MARKING'!U579+'PAVEMENT MARKING'!U661</f>
        <v>0</v>
      </c>
      <c r="P44" s="124">
        <f>'PAVEMENT MARKING'!V87+'PAVEMENT MARKING'!V168+'PAVEMENT MARKING'!V250+'PAVEMENT MARKING'!V332+'PAVEMENT MARKING'!V414+'PAVEMENT MARKING'!V497+'PAVEMENT MARKING'!V579+'PAVEMENT MARKING'!V661</f>
        <v>0</v>
      </c>
      <c r="Q44" s="126">
        <f>'PAVEMENT MARKING'!W87+'PAVEMENT MARKING'!W168+'PAVEMENT MARKING'!W250+'PAVEMENT MARKING'!W332+'PAVEMENT MARKING'!W414+'PAVEMENT MARKING'!W497+'PAVEMENT MARKING'!W579+'PAVEMENT MARKING'!W661</f>
        <v>0</v>
      </c>
      <c r="R44" s="126">
        <f>'PAVEMENT MARKING'!X87+'PAVEMENT MARKING'!X168+'PAVEMENT MARKING'!X250+'PAVEMENT MARKING'!X332+'PAVEMENT MARKING'!X414+'PAVEMENT MARKING'!X497+'PAVEMENT MARKING'!X579+'PAVEMENT MARKING'!X661</f>
        <v>0</v>
      </c>
      <c r="S44" s="126">
        <f>'PAVEMENT MARKING'!Y87+'PAVEMENT MARKING'!Y168+'PAVEMENT MARKING'!Y250+'PAVEMENT MARKING'!Y332+'PAVEMENT MARKING'!Y414+'PAVEMENT MARKING'!Y497+'PAVEMENT MARKING'!Y579+'PAVEMENT MARKING'!Y661</f>
        <v>0</v>
      </c>
      <c r="T44" s="124">
        <f>'PAVEMENT MARKING'!Z87+'PAVEMENT MARKING'!Z168+'PAVEMENT MARKING'!Z250+'PAVEMENT MARKING'!Z332+'PAVEMENT MARKING'!Z414+'PAVEMENT MARKING'!Z497+'PAVEMENT MARKING'!Z579+'PAVEMENT MARKING'!Z661</f>
        <v>0</v>
      </c>
      <c r="U44" s="125">
        <f>'PAVEMENT MARKING'!AA87+'PAVEMENT MARKING'!AA168+'PAVEMENT MARKING'!AA250+'PAVEMENT MARKING'!AA332+'PAVEMENT MARKING'!AA414+'PAVEMENT MARKING'!AA497+'PAVEMENT MARKING'!AA579+'PAVEMENT MARKING'!AA661</f>
        <v>3.5606060606060606E-2</v>
      </c>
      <c r="V44" s="125">
        <f>'PAVEMENT MARKING'!AB87+'PAVEMENT MARKING'!AB168+'PAVEMENT MARKING'!AB250+'PAVEMENT MARKING'!AB332+'PAVEMENT MARKING'!AB414+'PAVEMENT MARKING'!AB497+'PAVEMENT MARKING'!AB579+'PAVEMENT MARKING'!AB661</f>
        <v>5.3409090909090906E-2</v>
      </c>
      <c r="W44" s="125">
        <f>'PAVEMENT MARKING'!AC87+'PAVEMENT MARKING'!AC168+'PAVEMENT MARKING'!AC250+'PAVEMENT MARKING'!AC332+'PAVEMENT MARKING'!AC414+'PAVEMENT MARKING'!AC497+'PAVEMENT MARKING'!AC579+'PAVEMENT MARKING'!AC661</f>
        <v>0</v>
      </c>
      <c r="X44" s="125">
        <f>'PAVEMENT MARKING'!AD87+'PAVEMENT MARKING'!AD168+'PAVEMENT MARKING'!AD250+'PAVEMENT MARKING'!AD332+'PAVEMENT MARKING'!AD414+'PAVEMENT MARKING'!AD497+'PAVEMENT MARKING'!AD579+'PAVEMENT MARKING'!AD661</f>
        <v>3.5606060606060606E-2</v>
      </c>
      <c r="Y44" s="125">
        <f>'PAVEMENT MARKING'!AE87+'PAVEMENT MARKING'!AE168+'PAVEMENT MARKING'!AE250+'PAVEMENT MARKING'!AE332+'PAVEMENT MARKING'!AE414+'PAVEMENT MARKING'!AE497+'PAVEMENT MARKING'!AE579+'PAVEMENT MARKING'!AE661</f>
        <v>0</v>
      </c>
      <c r="Z44" s="125">
        <f>'PAVEMENT MARKING'!AF87+'PAVEMENT MARKING'!AF168+'PAVEMENT MARKING'!AF250+'PAVEMENT MARKING'!AF332+'PAVEMENT MARKING'!AF414+'PAVEMENT MARKING'!AF497+'PAVEMENT MARKING'!AF579+'PAVEMENT MARKING'!AF661</f>
        <v>0</v>
      </c>
      <c r="AA44" s="127">
        <f>'PAVEMENT MARKING'!AG87+'PAVEMENT MARKING'!AG168+'PAVEMENT MARKING'!AG250+'PAVEMENT MARKING'!AG332+'PAVEMENT MARKING'!AG414+'PAVEMENT MARKING'!AG497+'PAVEMENT MARKING'!AG579+'PAVEMENT MARKING'!AG661</f>
        <v>0</v>
      </c>
    </row>
    <row r="45" spans="1:27" ht="15.75" thickBot="1" x14ac:dyDescent="0.25">
      <c r="A45" s="5"/>
      <c r="B45" s="21"/>
      <c r="C45" s="5"/>
      <c r="D45" s="144" t="s">
        <v>699</v>
      </c>
      <c r="E45" s="128">
        <f>SUM(E25:E39)</f>
        <v>429</v>
      </c>
      <c r="F45" s="129">
        <f t="shared" ref="F45:AA45" si="0">SUM(F25:F39)</f>
        <v>151</v>
      </c>
      <c r="G45" s="130">
        <f t="shared" si="0"/>
        <v>5.8474431818181811</v>
      </c>
      <c r="H45" s="130">
        <f t="shared" si="0"/>
        <v>3.7505681818181817</v>
      </c>
      <c r="I45" s="131">
        <f t="shared" si="0"/>
        <v>1619</v>
      </c>
      <c r="J45" s="131">
        <f t="shared" si="0"/>
        <v>89</v>
      </c>
      <c r="K45" s="131">
        <f t="shared" si="0"/>
        <v>468</v>
      </c>
      <c r="L45" s="131">
        <f t="shared" si="0"/>
        <v>210</v>
      </c>
      <c r="M45" s="131">
        <f t="shared" si="0"/>
        <v>480</v>
      </c>
      <c r="N45" s="129">
        <f t="shared" si="0"/>
        <v>2</v>
      </c>
      <c r="O45" s="129">
        <f t="shared" si="0"/>
        <v>26</v>
      </c>
      <c r="P45" s="129">
        <f t="shared" si="0"/>
        <v>1</v>
      </c>
      <c r="Q45" s="131">
        <f t="shared" si="0"/>
        <v>932</v>
      </c>
      <c r="R45" s="131">
        <f t="shared" si="0"/>
        <v>128</v>
      </c>
      <c r="S45" s="131">
        <f t="shared" si="0"/>
        <v>110</v>
      </c>
      <c r="T45" s="129">
        <f t="shared" si="0"/>
        <v>2</v>
      </c>
      <c r="U45" s="130">
        <f t="shared" si="0"/>
        <v>5.1113636363636354</v>
      </c>
      <c r="V45" s="130">
        <f t="shared" si="0"/>
        <v>5.3409090909090906E-2</v>
      </c>
      <c r="W45" s="130">
        <f t="shared" si="0"/>
        <v>5.0757575757575752</v>
      </c>
      <c r="X45" s="132">
        <f t="shared" si="0"/>
        <v>3.5606060606060606E-2</v>
      </c>
      <c r="Y45" s="132">
        <f t="shared" si="0"/>
        <v>3.709469696969697</v>
      </c>
      <c r="Z45" s="133">
        <f t="shared" si="0"/>
        <v>1.7803030303030303E-2</v>
      </c>
      <c r="AA45" s="134">
        <f t="shared" si="0"/>
        <v>3.709469696969697</v>
      </c>
    </row>
    <row r="46" spans="1:27" x14ac:dyDescent="0.2">
      <c r="A46" s="5"/>
      <c r="B46" s="21"/>
      <c r="C46" s="5"/>
      <c r="D46" s="68"/>
      <c r="E46" s="68"/>
      <c r="F46" s="68"/>
      <c r="G46" s="73"/>
      <c r="H46" s="73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7" x14ac:dyDescent="0.2">
      <c r="A47" s="5"/>
      <c r="B47" s="21"/>
      <c r="C47" s="5"/>
      <c r="D47" s="68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x14ac:dyDescent="0.2">
      <c r="A48" s="5"/>
      <c r="B48" s="21"/>
      <c r="C48" s="5"/>
      <c r="D48" s="68"/>
      <c r="E48" s="68"/>
      <c r="F48" s="68"/>
      <c r="G48" s="73"/>
      <c r="H48" s="73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x14ac:dyDescent="0.2">
      <c r="A49" s="5"/>
      <c r="B49" s="21"/>
      <c r="C49" s="5"/>
      <c r="D49" s="68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x14ac:dyDescent="0.2">
      <c r="A50" s="5"/>
      <c r="B50" s="21"/>
      <c r="C50" s="5"/>
      <c r="D50" s="68"/>
      <c r="E50" s="68"/>
      <c r="F50" s="77"/>
      <c r="G50" s="73"/>
      <c r="H50" s="73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</row>
    <row r="51" spans="1:27" x14ac:dyDescent="0.2">
      <c r="A51" s="5"/>
      <c r="B51" s="21"/>
      <c r="C51" s="5"/>
      <c r="D51" s="68"/>
      <c r="E51" s="77"/>
      <c r="F51" s="68"/>
      <c r="G51" s="73"/>
      <c r="H51" s="73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</row>
    <row r="52" spans="1:27" ht="13.5" thickBot="1" x14ac:dyDescent="0.25">
      <c r="A52" s="5"/>
      <c r="B52" s="21"/>
      <c r="C52" s="5"/>
      <c r="D52" s="68"/>
      <c r="E52" s="68"/>
      <c r="F52" s="77"/>
      <c r="G52" s="73"/>
      <c r="H52" s="73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</row>
    <row r="53" spans="1:27" x14ac:dyDescent="0.2">
      <c r="A53" s="5"/>
      <c r="B53" s="21"/>
      <c r="C53" s="5"/>
      <c r="D53" s="426" t="s">
        <v>696</v>
      </c>
      <c r="E53" s="137" t="str">
        <f>SIGNING!O10</f>
        <v>630</v>
      </c>
      <c r="F53" s="137" t="str">
        <f>SIGNING!P10</f>
        <v>630</v>
      </c>
      <c r="G53" s="137" t="str">
        <f>SIGNING!Q10</f>
        <v>630</v>
      </c>
      <c r="H53" s="137" t="str">
        <f>SIGNING!R10</f>
        <v>630</v>
      </c>
      <c r="I53" s="137">
        <f>SIGNING!S10</f>
        <v>630</v>
      </c>
      <c r="J53" s="137">
        <f>SIGNING!T10</f>
        <v>620</v>
      </c>
      <c r="K53" s="137">
        <f>SIGNING!U10</f>
        <v>630</v>
      </c>
      <c r="L53" s="137">
        <f>SIGNING!V10</f>
        <v>632</v>
      </c>
      <c r="M53" s="137">
        <f>SIGNING!W10</f>
        <v>630</v>
      </c>
      <c r="N53" s="137">
        <f>SIGNING!X10</f>
        <v>630</v>
      </c>
      <c r="O53" s="82"/>
      <c r="P53" s="83"/>
      <c r="Q53" s="83"/>
      <c r="R53" s="83"/>
      <c r="S53" s="83"/>
      <c r="T53" s="83"/>
      <c r="U53" s="83"/>
      <c r="V53" s="83"/>
      <c r="W53" s="83"/>
      <c r="X53" s="87"/>
      <c r="Y53" s="83"/>
      <c r="Z53" s="95"/>
      <c r="AA53" s="84"/>
    </row>
    <row r="54" spans="1:27" ht="13.15" customHeight="1" x14ac:dyDescent="0.2">
      <c r="A54" s="5"/>
      <c r="B54" s="21"/>
      <c r="C54" s="5"/>
      <c r="D54" s="427"/>
      <c r="E54" s="415" t="str">
        <f>SIGNING!O11</f>
        <v>GROUND MOUNTED SUPPORT, NO. 3 POST</v>
      </c>
      <c r="F54" s="415" t="str">
        <f>SIGNING!P11</f>
        <v>SIGN, FLAT SHEET</v>
      </c>
      <c r="G54" s="415" t="str">
        <f>SIGNING!Q11</f>
        <v>REMOVAL OF GROUND MOUNTED SIGN AND DISPOSAL</v>
      </c>
      <c r="H54" s="415" t="str">
        <f>SIGNING!R11</f>
        <v>REMOVAL OF GROUND MOUNTED POST SUPPORT AND DISPOSAL</v>
      </c>
      <c r="I54" s="415" t="str">
        <f>SIGNING!S11</f>
        <v>SIGN SUPPORT ASSEMBLY, POLE MOUNTED</v>
      </c>
      <c r="J54" s="415" t="str">
        <f>SIGNING!T11</f>
        <v>DELINEATOR, MISC.: HIGH INTENSITY RETRO-REFLEC-
TIVE ISLAND SURFACE MOUNTED BULLNOSE MARKER</v>
      </c>
      <c r="K54" s="415" t="str">
        <f>SIGNING!U11</f>
        <v>SIGNING MISC.:SOLAR-POWERED RECTANGULAR RAPID FLASHING BEACON (RRFB) SIGN ASSEMBLY</v>
      </c>
      <c r="L54" s="415" t="str">
        <f>SIGNING!V11</f>
        <v>PEDESTAL FOUNDATION</v>
      </c>
      <c r="M54" s="415" t="str">
        <f>SIGNING!W11</f>
        <v>SIGNING MISC.: 12" PVC PIPE</v>
      </c>
      <c r="N54" s="415" t="str">
        <f>SIGNING!X11</f>
        <v>SIGN POST REFLECTOR</v>
      </c>
      <c r="O54" s="378"/>
      <c r="P54" s="378"/>
      <c r="Q54" s="378"/>
      <c r="R54" s="383"/>
      <c r="S54" s="383"/>
      <c r="T54" s="383"/>
      <c r="U54" s="378"/>
      <c r="V54" s="378"/>
      <c r="W54" s="378"/>
      <c r="X54" s="429"/>
      <c r="Y54" s="378"/>
      <c r="Z54" s="424"/>
      <c r="AA54" s="421"/>
    </row>
    <row r="55" spans="1:27" x14ac:dyDescent="0.2">
      <c r="A55" s="5"/>
      <c r="B55" s="21"/>
      <c r="C55" s="5"/>
      <c r="D55" s="427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379"/>
      <c r="P55" s="379"/>
      <c r="Q55" s="379"/>
      <c r="R55" s="384"/>
      <c r="S55" s="384"/>
      <c r="T55" s="384"/>
      <c r="U55" s="379"/>
      <c r="V55" s="379"/>
      <c r="W55" s="379"/>
      <c r="X55" s="430"/>
      <c r="Y55" s="379"/>
      <c r="Z55" s="317"/>
      <c r="AA55" s="422"/>
    </row>
    <row r="56" spans="1:27" x14ac:dyDescent="0.2">
      <c r="A56" s="5"/>
      <c r="B56" s="21"/>
      <c r="C56" s="5"/>
      <c r="D56" s="427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379"/>
      <c r="P56" s="379"/>
      <c r="Q56" s="379"/>
      <c r="R56" s="384"/>
      <c r="S56" s="384"/>
      <c r="T56" s="384"/>
      <c r="U56" s="379"/>
      <c r="V56" s="379"/>
      <c r="W56" s="379"/>
      <c r="X56" s="430"/>
      <c r="Y56" s="379"/>
      <c r="Z56" s="317"/>
      <c r="AA56" s="422"/>
    </row>
    <row r="57" spans="1:27" ht="13.15" customHeight="1" x14ac:dyDescent="0.2">
      <c r="A57" s="5"/>
      <c r="B57" s="21"/>
      <c r="C57" s="5"/>
      <c r="D57" s="427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379"/>
      <c r="P57" s="379"/>
      <c r="Q57" s="379"/>
      <c r="R57" s="384"/>
      <c r="S57" s="384"/>
      <c r="T57" s="384"/>
      <c r="U57" s="379"/>
      <c r="V57" s="379"/>
      <c r="W57" s="379"/>
      <c r="X57" s="430"/>
      <c r="Y57" s="379"/>
      <c r="Z57" s="317"/>
      <c r="AA57" s="422"/>
    </row>
    <row r="58" spans="1:27" x14ac:dyDescent="0.2">
      <c r="A58" s="5"/>
      <c r="B58" s="21"/>
      <c r="C58" s="5"/>
      <c r="D58" s="427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379"/>
      <c r="P58" s="379"/>
      <c r="Q58" s="379"/>
      <c r="R58" s="384"/>
      <c r="S58" s="384"/>
      <c r="T58" s="384"/>
      <c r="U58" s="379"/>
      <c r="V58" s="379"/>
      <c r="W58" s="379"/>
      <c r="X58" s="430"/>
      <c r="Y58" s="379"/>
      <c r="Z58" s="317"/>
      <c r="AA58" s="422"/>
    </row>
    <row r="59" spans="1:27" x14ac:dyDescent="0.2">
      <c r="A59" s="5"/>
      <c r="B59" s="21"/>
      <c r="C59" s="5"/>
      <c r="D59" s="427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379"/>
      <c r="P59" s="379"/>
      <c r="Q59" s="379"/>
      <c r="R59" s="384"/>
      <c r="S59" s="384"/>
      <c r="T59" s="384"/>
      <c r="U59" s="379"/>
      <c r="V59" s="379"/>
      <c r="W59" s="379"/>
      <c r="X59" s="430"/>
      <c r="Y59" s="379"/>
      <c r="Z59" s="317"/>
      <c r="AA59" s="422"/>
    </row>
    <row r="60" spans="1:27" x14ac:dyDescent="0.2">
      <c r="A60" s="5"/>
      <c r="B60" s="21"/>
      <c r="C60" s="5"/>
      <c r="D60" s="427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379"/>
      <c r="P60" s="379"/>
      <c r="Q60" s="379"/>
      <c r="R60" s="384"/>
      <c r="S60" s="384"/>
      <c r="T60" s="384"/>
      <c r="U60" s="379"/>
      <c r="V60" s="379"/>
      <c r="W60" s="379"/>
      <c r="X60" s="430"/>
      <c r="Y60" s="379"/>
      <c r="Z60" s="317"/>
      <c r="AA60" s="422"/>
    </row>
    <row r="61" spans="1:27" x14ac:dyDescent="0.2">
      <c r="A61" s="5"/>
      <c r="B61" s="21"/>
      <c r="C61" s="5"/>
      <c r="D61" s="427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379"/>
      <c r="P61" s="379"/>
      <c r="Q61" s="379"/>
      <c r="R61" s="384"/>
      <c r="S61" s="384"/>
      <c r="T61" s="384"/>
      <c r="U61" s="379"/>
      <c r="V61" s="379"/>
      <c r="W61" s="379"/>
      <c r="X61" s="430"/>
      <c r="Y61" s="379"/>
      <c r="Z61" s="317"/>
      <c r="AA61" s="422"/>
    </row>
    <row r="62" spans="1:27" x14ac:dyDescent="0.2">
      <c r="A62" s="5"/>
      <c r="B62" s="21"/>
      <c r="C62" s="5"/>
      <c r="D62" s="427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379"/>
      <c r="P62" s="379"/>
      <c r="Q62" s="379"/>
      <c r="R62" s="384"/>
      <c r="S62" s="384"/>
      <c r="T62" s="384"/>
      <c r="U62" s="379"/>
      <c r="V62" s="379"/>
      <c r="W62" s="379"/>
      <c r="X62" s="430"/>
      <c r="Y62" s="379"/>
      <c r="Z62" s="317"/>
      <c r="AA62" s="422"/>
    </row>
    <row r="63" spans="1:27" x14ac:dyDescent="0.2">
      <c r="A63" s="5"/>
      <c r="B63" s="21"/>
      <c r="C63" s="5"/>
      <c r="D63" s="427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379"/>
      <c r="P63" s="379"/>
      <c r="Q63" s="379"/>
      <c r="R63" s="384"/>
      <c r="S63" s="384"/>
      <c r="T63" s="384"/>
      <c r="U63" s="379"/>
      <c r="V63" s="379"/>
      <c r="W63" s="379"/>
      <c r="X63" s="430"/>
      <c r="Y63" s="379"/>
      <c r="Z63" s="317"/>
      <c r="AA63" s="422"/>
    </row>
    <row r="64" spans="1:27" x14ac:dyDescent="0.2">
      <c r="A64" s="5"/>
      <c r="B64" s="21"/>
      <c r="C64" s="5"/>
      <c r="D64" s="427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379"/>
      <c r="P64" s="379"/>
      <c r="Q64" s="379"/>
      <c r="R64" s="384"/>
      <c r="S64" s="384"/>
      <c r="T64" s="384"/>
      <c r="U64" s="379"/>
      <c r="V64" s="379"/>
      <c r="W64" s="379"/>
      <c r="X64" s="430"/>
      <c r="Y64" s="379"/>
      <c r="Z64" s="317"/>
      <c r="AA64" s="422"/>
    </row>
    <row r="65" spans="1:27" ht="19.899999999999999" customHeight="1" x14ac:dyDescent="0.2">
      <c r="A65" s="5"/>
      <c r="B65" s="21"/>
      <c r="C65" s="5"/>
      <c r="D65" s="42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380"/>
      <c r="P65" s="380"/>
      <c r="Q65" s="380"/>
      <c r="R65" s="385"/>
      <c r="S65" s="385"/>
      <c r="T65" s="385"/>
      <c r="U65" s="380"/>
      <c r="V65" s="380"/>
      <c r="W65" s="380"/>
      <c r="X65" s="431"/>
      <c r="Y65" s="380"/>
      <c r="Z65" s="425"/>
      <c r="AA65" s="423"/>
    </row>
    <row r="66" spans="1:27" ht="13.5" thickBot="1" x14ac:dyDescent="0.25">
      <c r="A66" s="5"/>
      <c r="B66" s="21"/>
      <c r="C66" s="5"/>
      <c r="D66" s="428"/>
      <c r="E66" s="138" t="str">
        <f>SIGNING!O23</f>
        <v>FT</v>
      </c>
      <c r="F66" s="138" t="str">
        <f>SIGNING!P23</f>
        <v>SF</v>
      </c>
      <c r="G66" s="138" t="str">
        <f>SIGNING!Q23</f>
        <v>EACH</v>
      </c>
      <c r="H66" s="138" t="str">
        <f>SIGNING!R23</f>
        <v>EACH</v>
      </c>
      <c r="I66" s="138" t="str">
        <f>SIGNING!S23</f>
        <v>EACH</v>
      </c>
      <c r="J66" s="138" t="str">
        <f>SIGNING!T23</f>
        <v>EACH</v>
      </c>
      <c r="K66" s="138" t="str">
        <f>SIGNING!U23</f>
        <v>EACH</v>
      </c>
      <c r="L66" s="138" t="str">
        <f>SIGNING!V23</f>
        <v>EACH</v>
      </c>
      <c r="M66" s="138" t="str">
        <f>SIGNING!W23</f>
        <v>EACH</v>
      </c>
      <c r="N66" s="138" t="str">
        <f>SIGNING!X23</f>
        <v>EACH</v>
      </c>
      <c r="O66" s="8"/>
      <c r="P66" s="8"/>
      <c r="Q66" s="8"/>
      <c r="R66" s="8"/>
      <c r="S66" s="8"/>
      <c r="T66" s="8"/>
      <c r="U66" s="8"/>
      <c r="V66" s="8"/>
      <c r="W66" s="8"/>
      <c r="X66" s="88"/>
      <c r="Y66" s="8"/>
      <c r="Z66" s="96"/>
      <c r="AA66" s="85"/>
    </row>
    <row r="67" spans="1:27" x14ac:dyDescent="0.2">
      <c r="A67" s="5"/>
      <c r="B67" s="21"/>
      <c r="C67" s="5"/>
      <c r="D67" s="63"/>
      <c r="E67" s="139"/>
      <c r="F67" s="114"/>
      <c r="G67" s="140"/>
      <c r="H67" s="140"/>
      <c r="I67" s="114"/>
      <c r="J67" s="114"/>
      <c r="K67" s="114"/>
      <c r="L67" s="114"/>
      <c r="M67" s="114"/>
      <c r="N67" s="114"/>
      <c r="O67" s="11"/>
      <c r="P67" s="11"/>
      <c r="Q67" s="11"/>
      <c r="R67" s="11"/>
      <c r="S67" s="11"/>
      <c r="T67" s="11"/>
      <c r="U67" s="11"/>
      <c r="V67" s="11"/>
      <c r="W67" s="11"/>
      <c r="X67" s="89"/>
      <c r="Y67" s="11"/>
      <c r="Z67" s="92"/>
      <c r="AA67" s="31"/>
    </row>
    <row r="68" spans="1:27" x14ac:dyDescent="0.2">
      <c r="A68" s="5"/>
      <c r="B68" s="21"/>
      <c r="C68" s="5"/>
      <c r="D68" s="135" t="s">
        <v>719</v>
      </c>
      <c r="E68" s="141">
        <f>SIGNING!O84</f>
        <v>331</v>
      </c>
      <c r="F68" s="141">
        <f>SIGNING!P84</f>
        <v>162.75</v>
      </c>
      <c r="G68" s="141">
        <f>SIGNING!Q84</f>
        <v>10</v>
      </c>
      <c r="H68" s="141">
        <f>SIGNING!R84</f>
        <v>10</v>
      </c>
      <c r="I68" s="141">
        <f>SIGNING!S84</f>
        <v>0</v>
      </c>
      <c r="J68" s="141">
        <f>SIGNING!T84</f>
        <v>0</v>
      </c>
      <c r="K68" s="141">
        <f>SIGNING!U84</f>
        <v>0</v>
      </c>
      <c r="L68" s="141">
        <f>SIGNING!V84</f>
        <v>0</v>
      </c>
      <c r="M68" s="141">
        <f>SIGNING!W84</f>
        <v>0</v>
      </c>
      <c r="N68" s="141">
        <f>SIGNING!X84</f>
        <v>21</v>
      </c>
      <c r="O68" s="11"/>
      <c r="P68" s="11"/>
      <c r="Q68" s="11"/>
      <c r="R68" s="11"/>
      <c r="S68" s="11"/>
      <c r="T68" s="11"/>
      <c r="U68" s="11"/>
      <c r="V68" s="11"/>
      <c r="W68" s="11"/>
      <c r="X68" s="89"/>
      <c r="Y68" s="11"/>
      <c r="Z68" s="92"/>
      <c r="AA68" s="31"/>
    </row>
    <row r="69" spans="1:27" x14ac:dyDescent="0.2">
      <c r="A69" s="5"/>
      <c r="B69" s="21"/>
      <c r="C69" s="5"/>
      <c r="D69" s="135"/>
      <c r="E69" s="141"/>
      <c r="F69" s="109"/>
      <c r="G69" s="109"/>
      <c r="H69" s="109"/>
      <c r="I69" s="114"/>
      <c r="J69" s="114"/>
      <c r="K69" s="114"/>
      <c r="L69" s="114"/>
      <c r="M69" s="114"/>
      <c r="N69" s="114"/>
      <c r="O69" s="11"/>
      <c r="P69" s="11"/>
      <c r="Q69" s="11"/>
      <c r="R69" s="11"/>
      <c r="S69" s="11"/>
      <c r="T69" s="11"/>
      <c r="U69" s="11"/>
      <c r="V69" s="11"/>
      <c r="W69" s="11"/>
      <c r="X69" s="89"/>
      <c r="Y69" s="11"/>
      <c r="Z69" s="92"/>
      <c r="AA69" s="31"/>
    </row>
    <row r="70" spans="1:27" x14ac:dyDescent="0.2">
      <c r="A70" s="5"/>
      <c r="B70" s="21"/>
      <c r="C70" s="5"/>
      <c r="D70" s="135" t="s">
        <v>720</v>
      </c>
      <c r="E70" s="141">
        <f>SIGNING!O166</f>
        <v>330.75</v>
      </c>
      <c r="F70" s="141">
        <f>SIGNING!P166</f>
        <v>189.125</v>
      </c>
      <c r="G70" s="141">
        <f>SIGNING!Q166</f>
        <v>0</v>
      </c>
      <c r="H70" s="141">
        <f>SIGNING!R166</f>
        <v>0</v>
      </c>
      <c r="I70" s="141">
        <f>SIGNING!S166</f>
        <v>11</v>
      </c>
      <c r="J70" s="141">
        <f>SIGNING!T166</f>
        <v>1</v>
      </c>
      <c r="K70" s="141">
        <f>SIGNING!U166</f>
        <v>2</v>
      </c>
      <c r="L70" s="141">
        <f>SIGNING!V166</f>
        <v>2</v>
      </c>
      <c r="M70" s="141">
        <f>SIGNING!W166</f>
        <v>4</v>
      </c>
      <c r="N70" s="141">
        <f>SIGNING!X166</f>
        <v>21</v>
      </c>
      <c r="O70" s="11"/>
      <c r="P70" s="11"/>
      <c r="Q70" s="11"/>
      <c r="R70" s="11"/>
      <c r="S70" s="11"/>
      <c r="T70" s="11"/>
      <c r="U70" s="11"/>
      <c r="V70" s="11"/>
      <c r="W70" s="11"/>
      <c r="X70" s="89"/>
      <c r="Y70" s="11"/>
      <c r="Z70" s="92"/>
      <c r="AA70" s="31"/>
    </row>
    <row r="71" spans="1:27" x14ac:dyDescent="0.2">
      <c r="A71" s="5"/>
      <c r="B71" s="21"/>
      <c r="C71" s="5"/>
      <c r="D71" s="135"/>
      <c r="E71" s="141"/>
      <c r="F71" s="109"/>
      <c r="G71" s="109"/>
      <c r="H71" s="109"/>
      <c r="I71" s="114"/>
      <c r="J71" s="114"/>
      <c r="K71" s="114"/>
      <c r="L71" s="114"/>
      <c r="M71" s="114"/>
      <c r="N71" s="114"/>
      <c r="O71" s="11"/>
      <c r="P71" s="11"/>
      <c r="Q71" s="11"/>
      <c r="R71" s="11"/>
      <c r="S71" s="11"/>
      <c r="T71" s="11"/>
      <c r="U71" s="11"/>
      <c r="V71" s="11"/>
      <c r="W71" s="11"/>
      <c r="X71" s="89"/>
      <c r="Y71" s="11"/>
      <c r="Z71" s="92"/>
      <c r="AA71" s="31"/>
    </row>
    <row r="72" spans="1:27" x14ac:dyDescent="0.2">
      <c r="A72" s="5"/>
      <c r="B72" s="21"/>
      <c r="C72" s="5"/>
      <c r="D72" s="135" t="s">
        <v>721</v>
      </c>
      <c r="E72" s="141">
        <f>SIGNING!O248</f>
        <v>206</v>
      </c>
      <c r="F72" s="141">
        <f>SIGNING!P248</f>
        <v>119.5</v>
      </c>
      <c r="G72" s="141">
        <f>SIGNING!Q248</f>
        <v>22</v>
      </c>
      <c r="H72" s="141">
        <f>SIGNING!R248</f>
        <v>18</v>
      </c>
      <c r="I72" s="141">
        <f>SIGNING!S248</f>
        <v>0</v>
      </c>
      <c r="J72" s="141">
        <f>SIGNING!T248</f>
        <v>1</v>
      </c>
      <c r="K72" s="141">
        <f>SIGNING!U248</f>
        <v>0</v>
      </c>
      <c r="L72" s="141">
        <f>SIGNING!V248</f>
        <v>0</v>
      </c>
      <c r="M72" s="141">
        <f>SIGNING!W248</f>
        <v>0</v>
      </c>
      <c r="N72" s="141">
        <f>SIGNING!X248</f>
        <v>2</v>
      </c>
      <c r="O72" s="11"/>
      <c r="P72" s="11"/>
      <c r="Q72" s="11"/>
      <c r="R72" s="11"/>
      <c r="S72" s="11"/>
      <c r="T72" s="11"/>
      <c r="U72" s="11"/>
      <c r="V72" s="11"/>
      <c r="W72" s="11"/>
      <c r="X72" s="89"/>
      <c r="Y72" s="11"/>
      <c r="Z72" s="92"/>
      <c r="AA72" s="31"/>
    </row>
    <row r="73" spans="1:27" x14ac:dyDescent="0.2">
      <c r="A73" s="5"/>
      <c r="B73" s="21"/>
      <c r="C73" s="5"/>
      <c r="D73" s="135"/>
      <c r="E73" s="141"/>
      <c r="F73" s="109"/>
      <c r="G73" s="109"/>
      <c r="H73" s="109"/>
      <c r="I73" s="114"/>
      <c r="J73" s="114"/>
      <c r="K73" s="114"/>
      <c r="L73" s="114"/>
      <c r="M73" s="114"/>
      <c r="N73" s="114"/>
      <c r="O73" s="11"/>
      <c r="P73" s="11"/>
      <c r="Q73" s="11"/>
      <c r="R73" s="11"/>
      <c r="S73" s="11"/>
      <c r="T73" s="11"/>
      <c r="U73" s="11"/>
      <c r="V73" s="11"/>
      <c r="W73" s="11"/>
      <c r="X73" s="89"/>
      <c r="Y73" s="11"/>
      <c r="Z73" s="92"/>
      <c r="AA73" s="31"/>
    </row>
    <row r="74" spans="1:27" x14ac:dyDescent="0.2">
      <c r="A74" s="5"/>
      <c r="B74" s="21"/>
      <c r="C74" s="5"/>
      <c r="D74" s="135" t="s">
        <v>722</v>
      </c>
      <c r="E74" s="141">
        <f>SIGNING!O330</f>
        <v>316.25</v>
      </c>
      <c r="F74" s="141">
        <f>SIGNING!P330</f>
        <v>160.375</v>
      </c>
      <c r="G74" s="141">
        <f>SIGNING!Q330</f>
        <v>24</v>
      </c>
      <c r="H74" s="141">
        <f>SIGNING!R330</f>
        <v>19</v>
      </c>
      <c r="I74" s="141">
        <f>SIGNING!S330</f>
        <v>0</v>
      </c>
      <c r="J74" s="141">
        <f>SIGNING!T330</f>
        <v>3</v>
      </c>
      <c r="K74" s="141">
        <f>SIGNING!U330</f>
        <v>0</v>
      </c>
      <c r="L74" s="141">
        <f>SIGNING!V330</f>
        <v>0</v>
      </c>
      <c r="M74" s="141">
        <f>SIGNING!W330</f>
        <v>5</v>
      </c>
      <c r="N74" s="141">
        <f>SIGNING!X330</f>
        <v>11</v>
      </c>
      <c r="O74" s="11"/>
      <c r="P74" s="11"/>
      <c r="Q74" s="11"/>
      <c r="R74" s="11"/>
      <c r="S74" s="11"/>
      <c r="T74" s="11"/>
      <c r="U74" s="11"/>
      <c r="V74" s="11"/>
      <c r="W74" s="11"/>
      <c r="X74" s="89"/>
      <c r="Y74" s="11"/>
      <c r="Z74" s="92"/>
      <c r="AA74" s="31"/>
    </row>
    <row r="75" spans="1:27" x14ac:dyDescent="0.2">
      <c r="A75" s="5"/>
      <c r="B75" s="21"/>
      <c r="C75" s="5"/>
      <c r="D75" s="135"/>
      <c r="E75" s="141"/>
      <c r="F75" s="109"/>
      <c r="G75" s="109"/>
      <c r="H75" s="109"/>
      <c r="I75" s="114"/>
      <c r="J75" s="114"/>
      <c r="K75" s="114"/>
      <c r="L75" s="114"/>
      <c r="M75" s="114"/>
      <c r="N75" s="114"/>
      <c r="O75" s="11"/>
      <c r="P75" s="11"/>
      <c r="Q75" s="11"/>
      <c r="R75" s="11"/>
      <c r="S75" s="11"/>
      <c r="T75" s="11"/>
      <c r="U75" s="11"/>
      <c r="V75" s="11"/>
      <c r="W75" s="11"/>
      <c r="X75" s="89"/>
      <c r="Y75" s="11"/>
      <c r="Z75" s="92"/>
      <c r="AA75" s="31"/>
    </row>
    <row r="76" spans="1:27" x14ac:dyDescent="0.2">
      <c r="A76" s="5"/>
      <c r="B76" s="21"/>
      <c r="C76" s="5"/>
      <c r="D76" s="135" t="s">
        <v>723</v>
      </c>
      <c r="E76" s="141">
        <f>SIGNING!O412</f>
        <v>261</v>
      </c>
      <c r="F76" s="141">
        <f>SIGNING!P412</f>
        <v>167.75</v>
      </c>
      <c r="G76" s="141">
        <f>SIGNING!Q412</f>
        <v>28</v>
      </c>
      <c r="H76" s="141">
        <f>SIGNING!R412</f>
        <v>23</v>
      </c>
      <c r="I76" s="141">
        <f>SIGNING!S412</f>
        <v>0</v>
      </c>
      <c r="J76" s="141">
        <f>SIGNING!T412</f>
        <v>2</v>
      </c>
      <c r="K76" s="141">
        <f>SIGNING!U412</f>
        <v>0</v>
      </c>
      <c r="L76" s="141">
        <f>SIGNING!V412</f>
        <v>0</v>
      </c>
      <c r="M76" s="141">
        <f>SIGNING!W412</f>
        <v>0</v>
      </c>
      <c r="N76" s="141">
        <f>SIGNING!X412</f>
        <v>0</v>
      </c>
      <c r="O76" s="11"/>
      <c r="P76" s="11"/>
      <c r="Q76" s="11"/>
      <c r="R76" s="11"/>
      <c r="S76" s="11"/>
      <c r="T76" s="11"/>
      <c r="U76" s="11"/>
      <c r="V76" s="11"/>
      <c r="W76" s="11"/>
      <c r="X76" s="89"/>
      <c r="Y76" s="11"/>
      <c r="Z76" s="92"/>
      <c r="AA76" s="31"/>
    </row>
    <row r="77" spans="1:27" x14ac:dyDescent="0.2">
      <c r="A77" s="5"/>
      <c r="B77" s="21"/>
      <c r="C77" s="5"/>
      <c r="D77" s="64"/>
      <c r="E77" s="142"/>
      <c r="F77" s="122"/>
      <c r="G77" s="122"/>
      <c r="H77" s="122"/>
      <c r="I77" s="116"/>
      <c r="J77" s="116"/>
      <c r="K77" s="116"/>
      <c r="L77" s="116"/>
      <c r="M77" s="116"/>
      <c r="N77" s="116"/>
      <c r="O77" s="44"/>
      <c r="P77" s="44"/>
      <c r="Q77" s="44"/>
      <c r="R77" s="44"/>
      <c r="S77" s="44"/>
      <c r="T77" s="44"/>
      <c r="U77" s="44"/>
      <c r="V77" s="44"/>
      <c r="W77" s="44"/>
      <c r="X77" s="90"/>
      <c r="Y77" s="44"/>
      <c r="Z77" s="93"/>
      <c r="AA77" s="86"/>
    </row>
    <row r="78" spans="1:27" ht="15" x14ac:dyDescent="0.2">
      <c r="A78" s="5"/>
      <c r="B78" s="21"/>
      <c r="C78" s="5"/>
      <c r="D78" s="143" t="s">
        <v>700</v>
      </c>
      <c r="E78" s="142"/>
      <c r="F78" s="122"/>
      <c r="G78" s="122"/>
      <c r="H78" s="122"/>
      <c r="I78" s="116"/>
      <c r="J78" s="116"/>
      <c r="K78" s="116"/>
      <c r="L78" s="116"/>
      <c r="M78" s="116"/>
      <c r="N78" s="116"/>
      <c r="O78" s="44"/>
      <c r="P78" s="44"/>
      <c r="Q78" s="44"/>
      <c r="R78" s="44"/>
      <c r="S78" s="44"/>
      <c r="T78" s="44"/>
      <c r="U78" s="44"/>
      <c r="V78" s="44"/>
      <c r="W78" s="44"/>
      <c r="X78" s="90"/>
      <c r="Y78" s="44"/>
      <c r="Z78" s="93"/>
      <c r="AA78" s="86"/>
    </row>
    <row r="79" spans="1:27" ht="15" x14ac:dyDescent="0.2">
      <c r="A79" s="5"/>
      <c r="B79" s="21"/>
      <c r="C79" s="5"/>
      <c r="D79" s="143" t="s">
        <v>701</v>
      </c>
      <c r="E79" s="142">
        <f>SIGNING!O85+SIGNING!O167+SIGNING!O249+SIGNING!O331+SIGNING!O413</f>
        <v>1177.5</v>
      </c>
      <c r="F79" s="142">
        <f>SIGNING!P85+SIGNING!P167+SIGNING!P249+SIGNING!P331+SIGNING!P413</f>
        <v>646.75</v>
      </c>
      <c r="G79" s="142">
        <v>66</v>
      </c>
      <c r="H79" s="142">
        <v>53</v>
      </c>
      <c r="I79" s="142">
        <f>SIGNING!S85+SIGNING!S167+SIGNING!S249+SIGNING!S331+SIGNING!S413</f>
        <v>11</v>
      </c>
      <c r="J79" s="142">
        <f>SIGNING!T85+SIGNING!T167+SIGNING!T249+SIGNING!T331+SIGNING!T413</f>
        <v>7</v>
      </c>
      <c r="K79" s="142">
        <f>SIGNING!U85+SIGNING!U167+SIGNING!U249+SIGNING!U331+SIGNING!U413</f>
        <v>2</v>
      </c>
      <c r="L79" s="142">
        <f>SIGNING!V85+SIGNING!V167+SIGNING!V249+SIGNING!V331+SIGNING!V413</f>
        <v>2</v>
      </c>
      <c r="M79" s="142">
        <f>SIGNING!W85+SIGNING!W167+SIGNING!W249+SIGNING!W331+SIGNING!W413</f>
        <v>9</v>
      </c>
      <c r="N79" s="142">
        <f>SIGNING!X85+SIGNING!X167+SIGNING!X249+SIGNING!X331+SIGNING!X413</f>
        <v>50</v>
      </c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9"/>
      <c r="Z79" s="93"/>
      <c r="AA79" s="86"/>
    </row>
    <row r="80" spans="1:27" ht="15" x14ac:dyDescent="0.2">
      <c r="A80" s="5"/>
      <c r="B80" s="21"/>
      <c r="C80" s="5"/>
      <c r="D80" s="143" t="s">
        <v>702</v>
      </c>
      <c r="E80" s="142">
        <f>SIGNING!O86+SIGNING!O168+SIGNING!O250+SIGNING!O332+SIGNING!O414</f>
        <v>267.5</v>
      </c>
      <c r="F80" s="142">
        <f>SIGNING!P86+SIGNING!P168+SIGNING!P250+SIGNING!P332+SIGNING!P414</f>
        <v>152.75</v>
      </c>
      <c r="G80" s="142">
        <f>SIGNING!Q86+SIGNING!Q168+SIGNING!Q250+SIGNING!Q332+SIGNING!Q414</f>
        <v>18</v>
      </c>
      <c r="H80" s="142">
        <f>SIGNING!R86+SIGNING!R168+SIGNING!R250+SIGNING!R332+SIGNING!R414</f>
        <v>17</v>
      </c>
      <c r="I80" s="142">
        <f>SIGNING!S86+SIGNING!S168+SIGNING!S250+SIGNING!S332+SIGNING!S414</f>
        <v>0</v>
      </c>
      <c r="J80" s="142">
        <f>SIGNING!T86+SIGNING!T168+SIGNING!T250+SIGNING!T332+SIGNING!T414</f>
        <v>0</v>
      </c>
      <c r="K80" s="142">
        <f>SIGNING!U86+SIGNING!U168+SIGNING!U250+SIGNING!U332+SIGNING!U414</f>
        <v>0</v>
      </c>
      <c r="L80" s="142">
        <f>SIGNING!V86+SIGNING!V168+SIGNING!V250+SIGNING!V332+SIGNING!V414</f>
        <v>0</v>
      </c>
      <c r="M80" s="142">
        <f>SIGNING!W86+SIGNING!W168+SIGNING!W250+SIGNING!W332+SIGNING!W414</f>
        <v>0</v>
      </c>
      <c r="N80" s="142">
        <f>SIGNING!X86+SIGNING!X168+SIGNING!X250+SIGNING!X332+SIGNING!X414</f>
        <v>5</v>
      </c>
      <c r="O80" s="44"/>
      <c r="P80" s="44"/>
      <c r="Q80" s="44"/>
      <c r="R80" s="44"/>
      <c r="S80" s="44"/>
      <c r="T80" s="44"/>
      <c r="U80" s="44"/>
      <c r="V80" s="44"/>
      <c r="W80" s="44"/>
      <c r="X80" s="90"/>
      <c r="Y80" s="44"/>
      <c r="Z80" s="93"/>
      <c r="AA80" s="86"/>
    </row>
    <row r="81" spans="1:27" ht="15.75" thickBot="1" x14ac:dyDescent="0.25">
      <c r="A81" s="5"/>
      <c r="B81" s="21"/>
      <c r="C81" s="5"/>
      <c r="D81" s="143" t="s">
        <v>703</v>
      </c>
      <c r="E81" s="142">
        <f>SIGNING!O87+SIGNING!O169+SIGNING!O251+SIGNING!O333+SIGNING!O415</f>
        <v>0</v>
      </c>
      <c r="F81" s="142">
        <f>SIGNING!P87+SIGNING!P169+SIGNING!P251+SIGNING!P333+SIGNING!P415</f>
        <v>0</v>
      </c>
      <c r="G81" s="142">
        <f>SIGNING!Q87+SIGNING!Q169+SIGNING!Q251+SIGNING!Q333+SIGNING!Q415</f>
        <v>0</v>
      </c>
      <c r="H81" s="142">
        <f>SIGNING!R87+SIGNING!R169+SIGNING!R251+SIGNING!R333+SIGNING!R415</f>
        <v>0</v>
      </c>
      <c r="I81" s="142">
        <f>SIGNING!S87+SIGNING!S169+SIGNING!S251+SIGNING!S333+SIGNING!S415</f>
        <v>0</v>
      </c>
      <c r="J81" s="142">
        <f>SIGNING!T87+SIGNING!T169+SIGNING!T251+SIGNING!T333+SIGNING!T415</f>
        <v>0</v>
      </c>
      <c r="K81" s="142">
        <f>SIGNING!U87+SIGNING!U169+SIGNING!U251+SIGNING!U333+SIGNING!U415</f>
        <v>0</v>
      </c>
      <c r="L81" s="142">
        <f>SIGNING!V87+SIGNING!V169+SIGNING!V251+SIGNING!V333+SIGNING!V415</f>
        <v>0</v>
      </c>
      <c r="M81" s="142">
        <f>SIGNING!W87+SIGNING!W169+SIGNING!W251+SIGNING!W333+SIGNING!W415</f>
        <v>0</v>
      </c>
      <c r="N81" s="142">
        <f>SIGNING!X87+SIGNING!X169+SIGNING!X251+SIGNING!X333+SIGNING!X415</f>
        <v>0</v>
      </c>
      <c r="O81" s="44"/>
      <c r="P81" s="44"/>
      <c r="Q81" s="44"/>
      <c r="R81" s="44"/>
      <c r="S81" s="44"/>
      <c r="T81" s="44"/>
      <c r="U81" s="44"/>
      <c r="V81" s="44"/>
      <c r="W81" s="44"/>
      <c r="X81" s="90"/>
      <c r="Y81" s="44"/>
      <c r="Z81" s="93"/>
      <c r="AA81" s="86"/>
    </row>
    <row r="82" spans="1:27" ht="15.75" thickBot="1" x14ac:dyDescent="0.25">
      <c r="A82" s="5"/>
      <c r="B82" s="21"/>
      <c r="C82" s="5"/>
      <c r="D82" s="144" t="s">
        <v>699</v>
      </c>
      <c r="E82" s="129">
        <f>ROUND(SUM(E68:E76),0)</f>
        <v>1445</v>
      </c>
      <c r="F82" s="129">
        <f t="shared" ref="F82:L82" si="1">ROUND(SUM(F68:F76),0)</f>
        <v>800</v>
      </c>
      <c r="G82" s="129">
        <f t="shared" si="1"/>
        <v>84</v>
      </c>
      <c r="H82" s="129">
        <f t="shared" si="1"/>
        <v>70</v>
      </c>
      <c r="I82" s="129">
        <f t="shared" si="1"/>
        <v>11</v>
      </c>
      <c r="J82" s="129">
        <f t="shared" si="1"/>
        <v>7</v>
      </c>
      <c r="K82" s="129">
        <f t="shared" si="1"/>
        <v>2</v>
      </c>
      <c r="L82" s="129">
        <f t="shared" si="1"/>
        <v>2</v>
      </c>
      <c r="M82" s="129">
        <f>ROUND(SUM(M68:M76),0)</f>
        <v>9</v>
      </c>
      <c r="N82" s="129">
        <f>ROUND(SUM(N68:N76),0)</f>
        <v>55</v>
      </c>
      <c r="O82" s="80"/>
      <c r="P82" s="80"/>
      <c r="Q82" s="80"/>
      <c r="R82" s="80"/>
      <c r="S82" s="80"/>
      <c r="T82" s="80"/>
      <c r="U82" s="80"/>
      <c r="V82" s="80"/>
      <c r="W82" s="80"/>
      <c r="X82" s="91"/>
      <c r="Y82" s="80"/>
      <c r="Z82" s="97"/>
      <c r="AA82" s="81"/>
    </row>
    <row r="83" spans="1:27" x14ac:dyDescent="0.2">
      <c r="A83" s="5"/>
      <c r="B83" s="21"/>
      <c r="C83" s="5"/>
      <c r="D83" s="68"/>
      <c r="E83" s="77"/>
      <c r="F83" s="68"/>
      <c r="G83" s="73"/>
      <c r="H83" s="73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</row>
    <row r="84" spans="1:27" x14ac:dyDescent="0.2">
      <c r="A84" s="5"/>
      <c r="B84" s="21"/>
      <c r="C84" s="5"/>
      <c r="D84" s="68"/>
      <c r="E84" s="77"/>
      <c r="F84" s="77"/>
      <c r="G84" s="77"/>
      <c r="H84" s="77"/>
      <c r="I84" s="77"/>
      <c r="J84" s="77"/>
      <c r="K84" s="77"/>
      <c r="L84" s="77"/>
      <c r="M84" s="77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</row>
    <row r="85" spans="1:27" x14ac:dyDescent="0.2">
      <c r="A85" s="5"/>
      <c r="B85" s="21"/>
      <c r="C85" s="5"/>
      <c r="D85" s="68"/>
      <c r="E85" s="68"/>
      <c r="F85" s="77"/>
      <c r="G85" s="73"/>
      <c r="H85" s="73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</row>
    <row r="86" spans="1:27" x14ac:dyDescent="0.2">
      <c r="A86" s="5"/>
      <c r="B86" s="21"/>
      <c r="C86" s="5"/>
      <c r="D86" s="68"/>
      <c r="E86" s="77"/>
      <c r="F86" s="77"/>
      <c r="G86" s="77"/>
      <c r="H86" s="77"/>
      <c r="I86" s="77"/>
      <c r="J86" s="77"/>
      <c r="K86" s="77"/>
      <c r="L86" s="77"/>
      <c r="M86" s="77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</row>
    <row r="87" spans="1:27" x14ac:dyDescent="0.2">
      <c r="A87" s="5"/>
      <c r="B87" s="5" t="s">
        <v>11</v>
      </c>
      <c r="C87" s="5"/>
      <c r="D87" s="78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</row>
  </sheetData>
  <mergeCells count="50">
    <mergeCell ref="D7:W7"/>
    <mergeCell ref="B10:B23"/>
    <mergeCell ref="D10:D23"/>
    <mergeCell ref="E11:E22"/>
    <mergeCell ref="F11:F22"/>
    <mergeCell ref="Q11:Q22"/>
    <mergeCell ref="G11:G22"/>
    <mergeCell ref="H11:H22"/>
    <mergeCell ref="I11:I22"/>
    <mergeCell ref="J11:J22"/>
    <mergeCell ref="K11:K22"/>
    <mergeCell ref="L11:L22"/>
    <mergeCell ref="M11:M22"/>
    <mergeCell ref="N11:N22"/>
    <mergeCell ref="W11:W22"/>
    <mergeCell ref="I54:I65"/>
    <mergeCell ref="J54:J65"/>
    <mergeCell ref="K54:K65"/>
    <mergeCell ref="L54:L65"/>
    <mergeCell ref="Y11:Y22"/>
    <mergeCell ref="Y54:Y65"/>
    <mergeCell ref="V54:V65"/>
    <mergeCell ref="W54:W65"/>
    <mergeCell ref="O11:O22"/>
    <mergeCell ref="U11:U22"/>
    <mergeCell ref="V11:V22"/>
    <mergeCell ref="O54:O65"/>
    <mergeCell ref="P54:P65"/>
    <mergeCell ref="Q54:Q65"/>
    <mergeCell ref="R54:R65"/>
    <mergeCell ref="X54:X65"/>
    <mergeCell ref="D53:D66"/>
    <mergeCell ref="E54:E65"/>
    <mergeCell ref="F54:F65"/>
    <mergeCell ref="G54:G65"/>
    <mergeCell ref="H54:H65"/>
    <mergeCell ref="M54:M65"/>
    <mergeCell ref="N54:N65"/>
    <mergeCell ref="AA11:AA22"/>
    <mergeCell ref="AA54:AA65"/>
    <mergeCell ref="S54:S65"/>
    <mergeCell ref="T54:T65"/>
    <mergeCell ref="P11:P22"/>
    <mergeCell ref="X11:X22"/>
    <mergeCell ref="R11:R22"/>
    <mergeCell ref="S11:S22"/>
    <mergeCell ref="T11:T22"/>
    <mergeCell ref="Z11:Z22"/>
    <mergeCell ref="Z54:Z65"/>
    <mergeCell ref="U54:U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PAVEMENT MARKING</vt:lpstr>
      <vt:lpstr>SIGNING</vt:lpstr>
      <vt:lpstr> COMBINED</vt:lpstr>
      <vt:lpstr>Traffic control 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Jon Grimm</cp:lastModifiedBy>
  <cp:lastPrinted>2015-05-18T13:50:30Z</cp:lastPrinted>
  <dcterms:created xsi:type="dcterms:W3CDTF">2005-09-27T11:52:28Z</dcterms:created>
  <dcterms:modified xsi:type="dcterms:W3CDTF">2025-10-23T18:13:39Z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