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0842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9" i="5" l="1"/>
  <c r="G19" i="5"/>
  <c r="E18" i="5"/>
  <c r="G18" i="5"/>
  <c r="F52" i="5"/>
  <c r="D52" i="5" s="1"/>
  <c r="E16" i="5"/>
  <c r="G16" i="5"/>
  <c r="G15" i="5"/>
  <c r="E15" i="5"/>
  <c r="F51" i="5" s="1"/>
  <c r="E14" i="5"/>
  <c r="D28" i="1" s="1"/>
  <c r="G14" i="5"/>
  <c r="E13" i="5"/>
  <c r="F53" i="5" s="1"/>
  <c r="G13" i="5"/>
  <c r="G12" i="5"/>
  <c r="E12" i="5"/>
  <c r="G11" i="5"/>
  <c r="E11" i="5"/>
  <c r="F49" i="5" s="1"/>
  <c r="G10" i="5"/>
  <c r="E10" i="5"/>
  <c r="I19" i="1"/>
  <c r="G16" i="4"/>
  <c r="G8" i="4"/>
  <c r="D21" i="1"/>
  <c r="D56" i="5"/>
  <c r="J18" i="4" s="1"/>
  <c r="D51" i="4"/>
  <c r="C63" i="5"/>
  <c r="C64" i="5" s="1"/>
  <c r="E8" i="4" s="1"/>
  <c r="N9" i="5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C52" i="5" l="1"/>
  <c r="F50" i="5"/>
  <c r="E50" i="5" s="1"/>
  <c r="C24" i="5"/>
  <c r="D22" i="1"/>
  <c r="N8" i="5"/>
  <c r="I24" i="1"/>
  <c r="J46" i="4"/>
  <c r="C23" i="5"/>
  <c r="E16" i="4"/>
  <c r="J38" i="4"/>
  <c r="E52" i="5"/>
  <c r="J40" i="4" s="1"/>
  <c r="E30" i="4"/>
  <c r="F48" i="5"/>
  <c r="N10" i="5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D50" i="5" l="1"/>
  <c r="E38" i="4" s="1"/>
  <c r="C50" i="5"/>
  <c r="E42" i="4" s="1"/>
  <c r="E41" i="5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<sst xmlns="http://schemas.openxmlformats.org/spreadsheetml/2006/main" count="493" uniqueCount="432">
  <si>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</si>
  <si>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</si>
  <si>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</si>
  <si>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</si>
  <si>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</si>
  <si>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</si>
  <si>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</si>
  <si>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</si>
  <si>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</si>
  <si>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</si>
  <si>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</si>
  <si>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</si>
  <si>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</si>
  <si>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</si>
  <si>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</si>
  <si>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</si>
  <si>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</si>
  <si>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</si>
  <si>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</si>
  <si>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</si>
  <si>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</si>
  <si>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</si>
  <si>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</si>
  <si>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</si>
  <si>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</si>
  <si>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</si>
  <si>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</si>
  <si>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</si>
  <si>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</si>
  <si>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</si>
  <si>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</si>
  <si>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</si>
  <si>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</si>
  <si>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</si>
  <si>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</si>
  <si>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</si>
  <si>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</si>
  <si>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</si>
  <si>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</si>
  <si>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</si>
  <si>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</si>
  <si>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</si>
  <si>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</si>
  <si>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</si>
  <si>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</si>
  <si>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</si>
  <si>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</si>
  <si>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</si>
  <si>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</si>
  <si>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</si>
  <si>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</si>
  <si>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</si>
  <si>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</si>
  <si>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</si>
  <si>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</si>
  <si>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</si>
  <si>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</si>
  <si>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</si>
  <si>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</si>
  <si>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</si>
  <si>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</si>
  <si>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</si>
  <si>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</si>
  <si>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</si>
  <si>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</si>
  <si>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</si>
  <si>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</si>
  <si>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</si>
  <si>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</si>
  <si>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</si>
  <si>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</si>
  <si>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</si>
  <si>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</si>
  <si>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</si>
  <si>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</si>
  <si>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</si>
  <si>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</si>
  <si>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</si>
  <si>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</si>
  <si>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</si>
  <si>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</si>
  <si>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</si>
  <si>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</si>
  <si>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</si>
  <si>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</si>
  <si>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</si>
  <si>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</si>
  <si>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</si>
  <si>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</si>
  <si>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</si>
  <si>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</si>
  <si>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</si>
  <si>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</si>
  <si>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</si>
  <si>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</si>
  <si>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</si>
  <si>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</si>
  <si>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</si>
  <si>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</si>
  <si>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</si>
  <si>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</si>
  <si>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</si>
  <si>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</si>
  <si>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</si>
  <si>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</si>
  <si>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</si>
  <si>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</si>
  <si>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</si>
  <si>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</si>
  <si>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</si>
  <si>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</si>
  <si>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</si>
  <si>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</si>
  <si>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</si>
  <si>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</si>
  <si>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</si>
  <si>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</si>
  <si>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</si>
  <si>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</si>
  <si>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</si>
  <si>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</si>
  <si>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</si>
  <si>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</si>
  <si>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</si>
  <si>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</si>
  <si>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</si>
  <si>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</si>
  <si>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</si>
  <si>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</si>
  <si>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</si>
  <si>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</si>
  <si>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</si>
  <si>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</si>
  <si>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</si>
  <si>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</si>
  <si>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</si>
  <si>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</si>
  <si>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</si>
  <si>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</si>
  <si>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</si>
  <si>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</si>
  <si>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</si>
  <si>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</si>
  <si>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</si>
  <si>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</si>
  <si>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</si>
  <si>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</si>
  <si>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</si>
  <si>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</si>
  <si>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</si>
  <si>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</si>
  <si>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</si>
  <si>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</si>
  <si>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</si>
  <si>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</si>
  <si>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</si>
  <si>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</si>
  <si>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</si>
  <si>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</si>
  <si>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</si>
  <si>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</si>
  <si>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</si>
  <si>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</si>
  <si>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</si>
  <si>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</si>
  <si>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</si>
  <si>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</si>
  <si>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</si>
  <si>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</si>
  <si>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</si>
  <si>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</si>
  <si>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</si>
  <si>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</si>
  <si>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</si>
  <si>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</si>
  <si>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</si>
  <si>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</si>
  <si>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</si>
  <si>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</si>
  <si>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</si>
  <si>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</si>
  <si>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</si>
  <si>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</si>
  <si>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</si>
  <si>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</si>
  <si>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</si>
  <si>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</si>
  <si>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</si>
  <si>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</si>
  <si>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</si>
  <si>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</si>
  <si>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</si>
  <si>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</si>
  <si>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</si>
  <si>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</si>
  <si>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</si>
  <si>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</si>
  <si>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</si>
  <si>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</si>
  <si>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</si>
  <si>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</si>
  <si>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</si>
  <si>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</si>
  <si>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</si>
  <si>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</si>
  <si>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</si>
  <si>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</si>
  <si>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</si>
  <si>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</si>
  <si>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</si>
  <si>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</si>
  <si>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</si>
  <si>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</si>
  <si>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</si>
  <si>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</si>
  <si>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</si>
  <si>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</si>
  <si>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</si>
  <si>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</si>
  <si>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</si>
  <si>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</si>
  <si>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</si>
  <si>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</si>
  <si>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</si>
  <si>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</si>
  <si>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</si>
  <si>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</si>
  <si>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</si>
  <si>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</si>
  <si>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</si>
  <si>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</si>
  <si>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</si>
  <si>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</si>
  <si>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</si>
  <si>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</si>
  <si>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</si>
  <si>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</si>
  <si>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</si>
  <si>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</si>
  <si>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</si>
  <si>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</si>
  <si>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</si>
  <si>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</si>
  <si>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</si>
  <si>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</si>
  <si>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</si>
  <si>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</si>
  <si>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</si>
  <si>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</si>
  <si>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</si>
  <si>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</si>
  <si>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</si>
  <si>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</si>
  <si>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</si>
  <si>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</si>
  <si>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</si>
  <si>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</si>
  <si>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</si>
  <si>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</si>
  <si>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</si>
  <si>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</si>
  <si>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</si>
  <si>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</si>
  <si>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</si>
  <si>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</si>
  <si>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</si>
  <si>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</si>
  <si>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</si>
  <si>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</si>
  <si>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</si>
  <si>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</si>
  <si>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</si>
  <si>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</si>
  <si>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</si>
  <si>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</si>
  <si>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</si>
  <si>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</si>
  <si>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</si>
  <si>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</si>
  <si>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</si>
  <si>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</si>
  <si>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</si>
  <si>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</si>
  <si>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</si>
  <si>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</si>
  <si>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</si>
  <si>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</si>
  <si>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</si>
  <si>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</si>
  <si>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</si>
  <si>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</si>
  <si>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</si>
  <si>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</si>
  <si>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</si>
  <si>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</si>
  <si>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</si>
  <si>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</si>
  <si>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</si>
  <si>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</si>
  <si>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</si>
  <si>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</si>
  <si>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</si>
  <si>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</si>
  <si>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</si>
  <si>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</si>
  <si>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</si>
  <si>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</si>
  <si>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</si>
  <si>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</si>
  <si>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</si>
  <si>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</si>
  <si>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</si>
  <si>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</si>
  <si>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</si>
  <si>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</si>
  <si>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</si>
  <si>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</si>
  <si>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</si>
  <si>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</si>
  <si>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</si>
  <si>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</si>
  <si>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</si>
  <si>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</si>
  <si>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</si>
  <si>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</si>
  <si>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</si>
  <si>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</si>
  <si>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</si>
  <si>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</si>
  <si>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</si>
  <si>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</si>
  <si>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</si>
  <si>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</si>
  <si>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</si>
  <si>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</si>
  <si>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</si>
  <si>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</si>
  <si>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</si>
  <si>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</si>
  <si>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</si>
  <si>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</si>
  <si>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</si>
  <si>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</si>
  <si>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</si>
  <si>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</si>
  <si>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</si>
  <si>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</si>
  <si>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</si>
  <si>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</si>
  <si>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</si>
  <si>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</si>
  <si>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</si>
  <si>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</si>
  <si>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</si>
  <si>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</si>
  <si>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</si>
  <si>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</si>
  <si>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</si>
  <si>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</si>
  <si>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</si>
  <si>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</si>
  <si>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</si>
  <si>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</si>
  <si>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</si>
  <si>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</si>
  <si>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</si>
  <si>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</si>
  <si>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</si>
  <si>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</si>
  <si>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</si>
  <si>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</si>
  <si>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</si>
  <si>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</si>
  <si>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</si>
  <si>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</si>
  <si>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</si>
  <si>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</si>
  <si>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</si>
  <si>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</si>
  <si>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</si>
  <si>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</si>
  <si>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</si>
  <si>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</si>
  <si>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</si>
  <si>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</si>
  <si>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</si>
  <si>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</si>
  <si>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</si>
  <si>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</si>
  <si>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</si>
  <si>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</si>
  <si>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</si>
  <si>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</si>
  <si>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</si>
  <si>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</si>
  <si>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</si>
  <si>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</si>
  <si>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</si>
  <si>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</si>
  <si>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</si>
  <si>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</si>
  <si>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</si>
  <si>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</si>
  <si>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</si>
  <si>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</si>
  <si>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</si>
  <si>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</si>
  <si>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</si>
  <si>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</si>
  <si>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</si>
  <si>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</si>
  <si>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</si>
  <si>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</si>
  <si>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</si>
  <si>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</si>
  <si>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</si>
  <si>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</si>
  <si>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</si>
  <si>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</si>
  <si>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</si>
  <si>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</si>
  <si>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</si>
  <si>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Jeremy.Fisher@dot.ohio.gov</t>
  </si>
  <si>
    <t>Amjad.Waheed@dot.ohio.gov</t>
  </si>
  <si>
    <t>614-752-9972</t>
  </si>
  <si>
    <t>614-466-2275</t>
  </si>
  <si>
    <t>ODOT- Office of Structural Engineering</t>
  </si>
  <si>
    <t>Amjad Waheed</t>
  </si>
  <si>
    <t>Jeremy Fisher</t>
  </si>
  <si>
    <t>GUE-70-0248 L</t>
  </si>
  <si>
    <t>Over Crooked Creek</t>
  </si>
  <si>
    <t>3 span (34', 42.5', 34' c/c bearings) continuous RC slab.  The slab has a thickness of 20.25" including 1.5" SDC overlay (1990) and a width of 42' o-o and 39' t-t of 32" parapets.  The analysis includes 5.5" of asphalt wearing surface (2015).  The bridge has a tangent alignment and a 30° LF skew. Design based on CF-2000(57) adaquate for Alternate Military loading.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</si>
</sst>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5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topLeftCell="A13" zoomScaleNormal="100" workbookViewId="0">
      <selection activeCell="C8" sqref="C8:K8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54" t="s">
        <v>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1" ht="23.25" customHeight="1" x14ac:dyDescent="0.25">
      <c r="A2" s="257" t="s">
        <v>7</v>
      </c>
      <c r="B2" s="258"/>
      <c r="C2" s="258"/>
      <c r="D2" s="258"/>
      <c r="E2" s="258"/>
      <c r="F2" s="258"/>
      <c r="G2" s="258"/>
      <c r="H2" s="258"/>
      <c r="I2" s="258"/>
      <c r="J2" s="258"/>
      <c r="K2" s="259"/>
    </row>
    <row r="3" spans="1:11" ht="23.25" customHeight="1" x14ac:dyDescent="0.25">
      <c r="A3" s="260" t="s">
        <v>8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x14ac:dyDescent="0.25">
      <c r="A4" s="220" t="s">
        <v>9</v>
      </c>
      <c r="B4" s="221"/>
      <c r="C4" s="221" t="s">
        <v>10</v>
      </c>
      <c r="D4" s="221"/>
      <c r="E4" s="221"/>
      <c r="F4" s="221"/>
      <c r="G4" s="245" t="s">
        <v>11</v>
      </c>
      <c r="H4" s="248"/>
      <c r="I4" s="248"/>
      <c r="J4" s="248"/>
      <c r="K4" s="249"/>
    </row>
    <row r="5" spans="1:11" x14ac:dyDescent="0.25">
      <c r="A5" s="268">
        <v>3000842</v>
      </c>
      <c r="B5" s="269"/>
      <c r="C5" s="251" t="s">
        <v>429</v>
      </c>
      <c r="D5" s="251"/>
      <c r="E5" s="251"/>
      <c r="F5" s="251"/>
      <c r="G5" s="270">
        <f>IF(ISNA(VLOOKUP(MID(C5,1,3),List!C4:D91,2,FALSE))=TRUE,"From BRIDGE NUMBER or Enter District",VLOOKUP(MID(C5,1,3),List!C4:D91,2))</f>
        <v>5</v>
      </c>
      <c r="H5" s="271"/>
      <c r="I5" s="271"/>
      <c r="J5" s="271"/>
      <c r="K5" s="272"/>
    </row>
    <row r="6" spans="1:11" ht="30" customHeight="1" x14ac:dyDescent="0.25">
      <c r="A6" s="263" t="s">
        <v>12</v>
      </c>
      <c r="B6" s="264"/>
      <c r="C6" s="132" t="s">
        <v>13</v>
      </c>
      <c r="D6" s="264" t="s">
        <v>129</v>
      </c>
      <c r="E6" s="264"/>
      <c r="F6" s="264"/>
      <c r="G6" s="273" t="s">
        <v>339</v>
      </c>
      <c r="H6" s="274"/>
      <c r="I6" s="274"/>
      <c r="J6" s="274"/>
      <c r="K6" s="275"/>
    </row>
    <row r="7" spans="1:11" x14ac:dyDescent="0.25">
      <c r="A7" s="250">
        <v>1966</v>
      </c>
      <c r="B7" s="251"/>
      <c r="C7" s="130"/>
      <c r="D7" s="276">
        <v>112</v>
      </c>
      <c r="E7" s="276"/>
      <c r="F7" s="276"/>
      <c r="G7" s="242" t="s">
        <v>430</v>
      </c>
      <c r="H7" s="243"/>
      <c r="I7" s="243"/>
      <c r="J7" s="243"/>
      <c r="K7" s="265"/>
    </row>
    <row r="8" spans="1:11" ht="129.75" customHeight="1" x14ac:dyDescent="0.25">
      <c r="A8" s="263" t="s">
        <v>155</v>
      </c>
      <c r="B8" s="264"/>
      <c r="C8" s="266" t="s">
        <v>431</v>
      </c>
      <c r="D8" s="266"/>
      <c r="E8" s="266"/>
      <c r="F8" s="266"/>
      <c r="G8" s="266"/>
      <c r="H8" s="266"/>
      <c r="I8" s="266"/>
      <c r="J8" s="266"/>
      <c r="K8" s="267"/>
    </row>
    <row r="9" spans="1:11" ht="22.5" customHeight="1" x14ac:dyDescent="0.25">
      <c r="A9" s="277"/>
      <c r="B9" s="278"/>
      <c r="C9" s="245" t="s">
        <v>18</v>
      </c>
      <c r="D9" s="248"/>
      <c r="E9" s="248"/>
      <c r="F9" s="248"/>
      <c r="G9" s="248"/>
      <c r="H9" s="248"/>
      <c r="I9" s="248"/>
      <c r="J9" s="248"/>
      <c r="K9" s="249"/>
    </row>
    <row r="10" spans="1:11" ht="22.5" customHeight="1" x14ac:dyDescent="0.25">
      <c r="A10" s="279" t="s">
        <v>14</v>
      </c>
      <c r="B10" s="280"/>
      <c r="C10" s="281" t="s">
        <v>136</v>
      </c>
      <c r="D10" s="282"/>
      <c r="E10" s="282"/>
      <c r="F10" s="282"/>
      <c r="G10" s="282"/>
      <c r="H10" s="282"/>
      <c r="I10" s="282"/>
      <c r="J10" s="282"/>
      <c r="K10" s="283"/>
    </row>
    <row r="11" spans="1:11" ht="22.5" customHeight="1" x14ac:dyDescent="0.25">
      <c r="A11" s="279" t="s">
        <v>15</v>
      </c>
      <c r="B11" s="280"/>
      <c r="C11" s="281" t="s">
        <v>174</v>
      </c>
      <c r="D11" s="282"/>
      <c r="E11" s="282"/>
      <c r="F11" s="282"/>
      <c r="G11" s="282"/>
      <c r="H11" s="282"/>
      <c r="I11" s="282"/>
      <c r="J11" s="282"/>
      <c r="K11" s="283"/>
    </row>
    <row r="12" spans="1:11" ht="22.5" customHeight="1" x14ac:dyDescent="0.25">
      <c r="A12" s="279" t="s">
        <v>16</v>
      </c>
      <c r="B12" s="280"/>
      <c r="C12" s="281" t="s">
        <v>140</v>
      </c>
      <c r="D12" s="282"/>
      <c r="E12" s="282"/>
      <c r="F12" s="282"/>
      <c r="G12" s="282"/>
      <c r="H12" s="282"/>
      <c r="I12" s="282"/>
      <c r="J12" s="282"/>
      <c r="K12" s="283"/>
    </row>
    <row r="13" spans="1:11" ht="22.5" customHeight="1" x14ac:dyDescent="0.25">
      <c r="A13" s="279" t="s">
        <v>151</v>
      </c>
      <c r="B13" s="280"/>
      <c r="C13" s="281" t="s">
        <v>187</v>
      </c>
      <c r="D13" s="282"/>
      <c r="E13" s="282"/>
      <c r="F13" s="282"/>
      <c r="G13" s="282"/>
      <c r="H13" s="282"/>
      <c r="I13" s="282"/>
      <c r="J13" s="282"/>
      <c r="K13" s="283"/>
    </row>
    <row r="14" spans="1:11" ht="22.5" customHeight="1" x14ac:dyDescent="0.25">
      <c r="A14" s="287" t="s">
        <v>17</v>
      </c>
      <c r="B14" s="288"/>
      <c r="C14" s="281" t="s">
        <v>149</v>
      </c>
      <c r="D14" s="282"/>
      <c r="E14" s="282"/>
      <c r="F14" s="282"/>
      <c r="G14" s="282"/>
      <c r="H14" s="282"/>
      <c r="I14" s="282"/>
      <c r="J14" s="282"/>
      <c r="K14" s="283"/>
    </row>
    <row r="15" spans="1:11" ht="4.5" customHeight="1" thickBot="1" x14ac:dyDescent="0.3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1" ht="22.5" customHeight="1" thickTop="1" thickBot="1" x14ac:dyDescent="0.3">
      <c r="A16" s="284" t="s">
        <v>19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4" ht="4.5" customHeight="1" thickTop="1" x14ac:dyDescent="0.25">
      <c r="A17" s="168"/>
      <c r="B17" s="169"/>
      <c r="C17" s="169"/>
      <c r="D17" s="169"/>
      <c r="E17" s="170"/>
      <c r="F17" s="169"/>
      <c r="G17" s="169"/>
      <c r="H17" s="169"/>
      <c r="I17" s="169"/>
      <c r="J17" s="169"/>
      <c r="K17" s="171"/>
    </row>
    <row r="18" spans="1:14" ht="18.75" customHeight="1" x14ac:dyDescent="0.25">
      <c r="A18" s="294" t="s">
        <v>342</v>
      </c>
      <c r="B18" s="295"/>
      <c r="C18" s="295"/>
      <c r="D18" s="296"/>
      <c r="E18" s="42"/>
      <c r="F18" s="292" t="s">
        <v>344</v>
      </c>
      <c r="G18" s="292"/>
      <c r="H18" s="292"/>
      <c r="I18" s="292"/>
      <c r="J18" s="292"/>
      <c r="K18" s="293"/>
    </row>
    <row r="19" spans="1:14" ht="15" customHeight="1" x14ac:dyDescent="0.25">
      <c r="A19" s="200" t="s">
        <v>0</v>
      </c>
      <c r="B19" s="297" t="s">
        <v>127</v>
      </c>
      <c r="C19" s="166" t="s">
        <v>419</v>
      </c>
      <c r="D19" s="299" t="s">
        <v>162</v>
      </c>
      <c r="E19" s="42"/>
      <c r="F19" s="302" t="s">
        <v>0</v>
      </c>
      <c r="G19" s="303"/>
      <c r="H19" s="303"/>
      <c r="I19" s="196" t="str">
        <f>CONCATENATE("Design Rating - ",'Calcs &amp; Signs'!D4)</f>
        <v>Design Rating - RF</v>
      </c>
      <c r="J19" s="196"/>
      <c r="K19" s="301"/>
    </row>
    <row r="20" spans="1:14" ht="15" customHeight="1" x14ac:dyDescent="0.25">
      <c r="A20" s="201"/>
      <c r="B20" s="298"/>
      <c r="C20" s="167" t="s">
        <v>159</v>
      </c>
      <c r="D20" s="300"/>
      <c r="E20" s="42"/>
      <c r="F20" s="304"/>
      <c r="G20" s="173"/>
      <c r="H20" s="173"/>
      <c r="I20" s="196" t="s">
        <v>341</v>
      </c>
      <c r="J20" s="196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3.1019999999999999</v>
      </c>
      <c r="D21" s="34">
        <f>'Calcs &amp; Signs'!E10</f>
        <v>15</v>
      </c>
      <c r="E21" s="42"/>
      <c r="F21" s="212" t="str">
        <f>VLOOKUP(C13,List!P3:R20,3)</f>
        <v>HS20 Loading</v>
      </c>
      <c r="G21" s="213"/>
      <c r="H21" s="213"/>
      <c r="I21" s="206">
        <v>1.48</v>
      </c>
      <c r="J21" s="207"/>
      <c r="K21" s="210">
        <v>0.88600000000000001</v>
      </c>
    </row>
    <row r="22" spans="1:14" ht="10.5" customHeight="1" x14ac:dyDescent="0.25">
      <c r="A22" s="200" t="str">
        <f>'Calcs &amp; Signs'!B11</f>
        <v>3F1</v>
      </c>
      <c r="B22" s="202">
        <f>'Calcs &amp; Signs'!D11</f>
        <v>23</v>
      </c>
      <c r="C22" s="176">
        <v>2.1760000000000002</v>
      </c>
      <c r="D22" s="178">
        <f>'Calcs &amp; Signs'!E11</f>
        <v>23</v>
      </c>
      <c r="E22" s="43"/>
      <c r="F22" s="214"/>
      <c r="G22" s="215"/>
      <c r="H22" s="215"/>
      <c r="I22" s="208"/>
      <c r="J22" s="209"/>
      <c r="K22" s="211"/>
    </row>
    <row r="23" spans="1:14" ht="4.5" customHeight="1" x14ac:dyDescent="0.25">
      <c r="A23" s="201"/>
      <c r="B23" s="203"/>
      <c r="C23" s="177"/>
      <c r="D23" s="179"/>
      <c r="E23" s="43"/>
      <c r="F23" s="204"/>
      <c r="G23" s="204"/>
      <c r="H23" s="204"/>
      <c r="I23" s="204"/>
      <c r="J23" s="204"/>
      <c r="K23" s="205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1.9750000000000001</v>
      </c>
      <c r="D24" s="34">
        <f>'Calcs &amp; Signs'!E12</f>
        <v>27</v>
      </c>
      <c r="E24" s="43"/>
      <c r="F24" s="199" t="s">
        <v>394</v>
      </c>
      <c r="G24" s="199"/>
      <c r="H24" s="199"/>
      <c r="I24" s="197">
        <f>'Calcs &amp; Signs'!D26</f>
        <v>1.4000000000000001</v>
      </c>
      <c r="J24" s="197"/>
      <c r="K24" s="198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1.4179999999999999</v>
      </c>
      <c r="D25" s="34">
        <f>'Calcs &amp; Signs'!E13</f>
        <v>40</v>
      </c>
      <c r="E25" s="43"/>
      <c r="F25" s="199"/>
      <c r="G25" s="199"/>
      <c r="H25" s="199"/>
      <c r="I25" s="197"/>
      <c r="J25" s="197"/>
      <c r="K25" s="198"/>
      <c r="M25" s="1"/>
    </row>
    <row r="26" spans="1:14" ht="4.5" customHeight="1" x14ac:dyDescent="0.25">
      <c r="A26" s="194"/>
      <c r="B26" s="195"/>
      <c r="C26" s="195"/>
      <c r="D26" s="195"/>
      <c r="E26" s="44"/>
      <c r="F26" s="189"/>
      <c r="G26" s="189"/>
      <c r="H26" s="189"/>
      <c r="I26" s="189"/>
      <c r="J26" s="189"/>
      <c r="K26" s="190"/>
      <c r="M26" s="1"/>
    </row>
    <row r="27" spans="1:14" ht="18.75" customHeight="1" x14ac:dyDescent="0.25">
      <c r="A27" s="191" t="s">
        <v>152</v>
      </c>
      <c r="B27" s="192"/>
      <c r="C27" s="192"/>
      <c r="D27" s="193"/>
      <c r="E27" s="43"/>
      <c r="F27" s="180" t="s">
        <v>345</v>
      </c>
      <c r="G27" s="181"/>
      <c r="H27" s="182"/>
      <c r="I27" s="224" t="str">
        <f>'Calcs &amp; Signs'!D27</f>
        <v>No Load Posting is Recommended</v>
      </c>
      <c r="J27" s="224"/>
      <c r="K27" s="225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1.96</v>
      </c>
      <c r="D28" s="34">
        <f>'Calcs &amp; Signs'!E14</f>
        <v>27</v>
      </c>
      <c r="E28" s="43"/>
      <c r="F28" s="186"/>
      <c r="G28" s="187"/>
      <c r="H28" s="188"/>
      <c r="I28" s="226"/>
      <c r="J28" s="226"/>
      <c r="K28" s="227"/>
      <c r="M28" s="1"/>
    </row>
    <row r="29" spans="1:14" ht="4.5" customHeight="1" x14ac:dyDescent="0.25">
      <c r="A29" s="200" t="str">
        <f>'Calcs &amp; Signs'!B15</f>
        <v>SU5</v>
      </c>
      <c r="B29" s="174">
        <f>'Calcs &amp; Signs'!D15</f>
        <v>31</v>
      </c>
      <c r="C29" s="176">
        <v>1.8009999999999999</v>
      </c>
      <c r="D29" s="178">
        <f>'Calcs &amp; Signs'!E15</f>
        <v>31</v>
      </c>
      <c r="E29" s="43"/>
      <c r="F29" s="222"/>
      <c r="G29" s="222"/>
      <c r="H29" s="222"/>
      <c r="I29" s="222"/>
      <c r="J29" s="222"/>
      <c r="K29" s="223"/>
      <c r="M29" s="1"/>
    </row>
    <row r="30" spans="1:14" ht="10.5" customHeight="1" x14ac:dyDescent="0.25">
      <c r="A30" s="201"/>
      <c r="B30" s="175"/>
      <c r="C30" s="177"/>
      <c r="D30" s="179"/>
      <c r="E30" s="44"/>
      <c r="F30" s="180" t="s">
        <v>160</v>
      </c>
      <c r="G30" s="181"/>
      <c r="H30" s="182"/>
      <c r="I30" s="233"/>
      <c r="J30" s="234"/>
      <c r="K30" s="235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1.629</v>
      </c>
      <c r="D31" s="34">
        <f>'Calcs &amp; Signs'!E16</f>
        <v>34.75</v>
      </c>
      <c r="E31" s="123"/>
      <c r="F31" s="183"/>
      <c r="G31" s="184"/>
      <c r="H31" s="185"/>
      <c r="I31" s="233"/>
      <c r="J31" s="234"/>
      <c r="K31" s="235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1.472</v>
      </c>
      <c r="D32" s="34">
        <f>'Calcs &amp; Signs'!E17</f>
        <v>38.75</v>
      </c>
      <c r="E32" s="123"/>
      <c r="F32" s="183"/>
      <c r="G32" s="184"/>
      <c r="H32" s="185"/>
      <c r="I32" s="233"/>
      <c r="J32" s="234"/>
      <c r="K32" s="235"/>
    </row>
    <row r="33" spans="1:11" ht="4.5" customHeight="1" x14ac:dyDescent="0.25">
      <c r="A33" s="172"/>
      <c r="B33" s="173"/>
      <c r="C33" s="173"/>
      <c r="D33" s="173"/>
      <c r="E33" s="123"/>
      <c r="F33" s="183"/>
      <c r="G33" s="184"/>
      <c r="H33" s="185"/>
      <c r="I33" s="233"/>
      <c r="J33" s="234"/>
      <c r="K33" s="235"/>
    </row>
    <row r="34" spans="1:11" ht="18.75" customHeight="1" x14ac:dyDescent="0.25">
      <c r="A34" s="230" t="s">
        <v>407</v>
      </c>
      <c r="B34" s="231"/>
      <c r="C34" s="231"/>
      <c r="D34" s="232"/>
      <c r="E34" s="123"/>
      <c r="F34" s="183"/>
      <c r="G34" s="184"/>
      <c r="H34" s="185"/>
      <c r="I34" s="233"/>
      <c r="J34" s="234"/>
      <c r="K34" s="235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1.93</v>
      </c>
      <c r="D35" s="124">
        <f>'Calcs &amp; Signs'!E18</f>
        <v>28.75</v>
      </c>
      <c r="E35" s="123"/>
      <c r="F35" s="183"/>
      <c r="G35" s="184"/>
      <c r="H35" s="185"/>
      <c r="I35" s="233"/>
      <c r="J35" s="234"/>
      <c r="K35" s="235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1.28</v>
      </c>
      <c r="D36" s="34">
        <f>'Calcs &amp; Signs'!E19</f>
        <v>43</v>
      </c>
      <c r="E36" s="123"/>
      <c r="F36" s="183"/>
      <c r="G36" s="184"/>
      <c r="H36" s="185"/>
      <c r="I36" s="233"/>
      <c r="J36" s="234"/>
      <c r="K36" s="235"/>
    </row>
    <row r="37" spans="1:11" ht="15" customHeight="1" x14ac:dyDescent="0.25">
      <c r="A37" s="45"/>
      <c r="B37" s="33"/>
      <c r="C37" s="33"/>
      <c r="D37" s="33"/>
      <c r="E37" s="123"/>
      <c r="F37" s="183"/>
      <c r="G37" s="184"/>
      <c r="H37" s="185"/>
      <c r="I37" s="233"/>
      <c r="J37" s="234"/>
      <c r="K37" s="235"/>
    </row>
    <row r="38" spans="1:11" ht="15" customHeight="1" x14ac:dyDescent="0.25">
      <c r="A38" s="45"/>
      <c r="B38" s="33"/>
      <c r="C38" s="33"/>
      <c r="D38" s="33"/>
      <c r="E38" s="170"/>
      <c r="F38" s="186"/>
      <c r="G38" s="187"/>
      <c r="H38" s="188"/>
      <c r="I38" s="233"/>
      <c r="J38" s="234"/>
      <c r="K38" s="235"/>
    </row>
    <row r="39" spans="1:11" ht="4.5" customHeight="1" x14ac:dyDescent="0.25">
      <c r="A39" s="172"/>
      <c r="B39" s="173"/>
      <c r="C39" s="173"/>
      <c r="D39" s="173"/>
      <c r="E39" s="169"/>
      <c r="F39" s="228"/>
      <c r="G39" s="228"/>
      <c r="H39" s="228"/>
      <c r="I39" s="228"/>
      <c r="J39" s="228"/>
      <c r="K39" s="229"/>
    </row>
    <row r="40" spans="1:11" ht="22.5" customHeight="1" x14ac:dyDescent="0.25">
      <c r="A40" s="216" t="s">
        <v>340</v>
      </c>
      <c r="B40" s="217"/>
      <c r="C40" s="242" t="s">
        <v>426</v>
      </c>
      <c r="D40" s="243"/>
      <c r="E40" s="243"/>
      <c r="F40" s="243"/>
      <c r="G40" s="244"/>
      <c r="H40" s="245" t="s">
        <v>156</v>
      </c>
      <c r="I40" s="246"/>
      <c r="J40" s="218">
        <v>43112</v>
      </c>
      <c r="K40" s="219"/>
    </row>
    <row r="41" spans="1:11" ht="22.5" customHeight="1" x14ac:dyDescent="0.25">
      <c r="A41" s="220" t="s">
        <v>128</v>
      </c>
      <c r="B41" s="221"/>
      <c r="C41" s="129" t="s">
        <v>347</v>
      </c>
      <c r="D41" s="245" t="s">
        <v>346</v>
      </c>
      <c r="E41" s="248"/>
      <c r="F41" s="248"/>
      <c r="G41" s="246"/>
      <c r="H41" s="245" t="s">
        <v>20</v>
      </c>
      <c r="I41" s="248"/>
      <c r="J41" s="248"/>
      <c r="K41" s="249"/>
    </row>
    <row r="42" spans="1:11" ht="22.5" customHeight="1" x14ac:dyDescent="0.25">
      <c r="A42" s="250" t="s">
        <v>428</v>
      </c>
      <c r="B42" s="251"/>
      <c r="C42" s="130"/>
      <c r="D42" s="251" t="s">
        <v>425</v>
      </c>
      <c r="E42" s="251"/>
      <c r="F42" s="251"/>
      <c r="G42" s="251"/>
      <c r="H42" s="236" t="s">
        <v>422</v>
      </c>
      <c r="I42" s="237"/>
      <c r="J42" s="237"/>
      <c r="K42" s="238"/>
    </row>
    <row r="43" spans="1:11" ht="22.5" customHeight="1" x14ac:dyDescent="0.25">
      <c r="A43" s="216" t="s">
        <v>157</v>
      </c>
      <c r="B43" s="217"/>
      <c r="C43" s="128" t="s">
        <v>347</v>
      </c>
      <c r="D43" s="245" t="s">
        <v>346</v>
      </c>
      <c r="E43" s="248"/>
      <c r="F43" s="248"/>
      <c r="G43" s="246"/>
      <c r="H43" s="245" t="s">
        <v>20</v>
      </c>
      <c r="I43" s="248"/>
      <c r="J43" s="248"/>
      <c r="K43" s="249"/>
    </row>
    <row r="44" spans="1:11" ht="22.5" customHeight="1" thickBot="1" x14ac:dyDescent="0.3">
      <c r="A44" s="253" t="s">
        <v>427</v>
      </c>
      <c r="B44" s="252"/>
      <c r="C44" s="131">
        <v>55865</v>
      </c>
      <c r="D44" s="252" t="s">
        <v>424</v>
      </c>
      <c r="E44" s="252"/>
      <c r="F44" s="252"/>
      <c r="G44" s="252"/>
      <c r="H44" s="239" t="s">
        <v>423</v>
      </c>
      <c r="I44" s="240"/>
      <c r="J44" s="240"/>
      <c r="K44" s="241"/>
    </row>
    <row r="45" spans="1:11" x14ac:dyDescent="0.25">
      <c r="J45" s="247" t="s">
        <v>338</v>
      </c>
      <c r="K45" s="247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F18:K18"/>
    <mergeCell ref="A19:A20"/>
    <mergeCell ref="A18:D18"/>
    <mergeCell ref="B19:B20"/>
    <mergeCell ref="D19:D20"/>
    <mergeCell ref="I19:K19"/>
    <mergeCell ref="F19:H20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D6:F6"/>
    <mergeCell ref="A8:B8"/>
    <mergeCell ref="A9:B9"/>
    <mergeCell ref="A10:B10"/>
    <mergeCell ref="A11:B11"/>
    <mergeCell ref="C11:K11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A42:B42"/>
    <mergeCell ref="D41:G41"/>
    <mergeCell ref="D43:G43"/>
    <mergeCell ref="D42:G42"/>
    <mergeCell ref="D44:G44"/>
    <mergeCell ref="A44:B44"/>
    <mergeCell ref="A43:B43"/>
    <mergeCell ref="H42:K42"/>
    <mergeCell ref="H44:K44"/>
    <mergeCell ref="C40:G40"/>
    <mergeCell ref="H40:I40"/>
    <mergeCell ref="J45:K45"/>
    <mergeCell ref="H41:K41"/>
    <mergeCell ref="H43:K43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C22:C23"/>
    <mergeCell ref="D22:D23"/>
    <mergeCell ref="F23:K23"/>
    <mergeCell ref="I21:J22"/>
    <mergeCell ref="K21:K22"/>
    <mergeCell ref="F21:H22"/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topLeftCell="A10" workbookViewId="0">
      <selection activeCell="M24" sqref="M24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14" t="s">
        <v>199</v>
      </c>
      <c r="C2" s="315"/>
      <c r="D2" s="315"/>
      <c r="E2" s="315"/>
      <c r="F2" s="315"/>
      <c r="G2" s="315"/>
      <c r="H2" s="315"/>
      <c r="I2" s="315"/>
      <c r="J2" s="315"/>
      <c r="K2" s="315"/>
      <c r="L2" s="316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6" t="str">
        <f>'BR-100'!C14</f>
        <v>6 - HS20-44 &amp; Alternate Military Loading</v>
      </c>
      <c r="F4" s="307"/>
      <c r="G4" s="20"/>
      <c r="H4" s="19" t="str">
        <f>"(703)"</f>
        <v>(703)</v>
      </c>
      <c r="I4" s="20" t="s">
        <v>224</v>
      </c>
      <c r="J4" s="317">
        <f>IF(E18 = "HS20 Loading", 36, "")</f>
        <v>36</v>
      </c>
      <c r="K4" s="318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6" t="str">
        <f>'BR-100'!C13</f>
        <v>6 - Load Factor (LF) rating reported by rating factor (RF)</v>
      </c>
      <c r="F6" s="307"/>
      <c r="G6" s="20"/>
      <c r="H6" s="22" t="str">
        <f>"(704)"</f>
        <v>(704)</v>
      </c>
      <c r="I6" s="23" t="s">
        <v>225</v>
      </c>
      <c r="J6" s="321">
        <f>'BR-100'!J40</f>
        <v>43112</v>
      </c>
      <c r="K6" s="322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08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1.48</v>
      </c>
      <c r="F8" s="309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23"/>
      <c r="K8" s="324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6" t="str">
        <f>'BR-100'!F21</f>
        <v>HS20 Loading</v>
      </c>
      <c r="F10" s="307"/>
      <c r="G10" s="20"/>
      <c r="H10" s="19" t="str">
        <f>"(706)"</f>
        <v>(706)</v>
      </c>
      <c r="I10" s="20" t="s">
        <v>227</v>
      </c>
      <c r="J10" s="323"/>
      <c r="K10" s="324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7">
        <f>IF(E10 = "HS20 Loading", 36, "")</f>
        <v>36</v>
      </c>
      <c r="F12" s="318"/>
      <c r="G12" s="20" t="s">
        <v>222</v>
      </c>
      <c r="H12" s="19" t="str">
        <f>"(707)"</f>
        <v>(707)</v>
      </c>
      <c r="I12" s="20" t="s">
        <v>228</v>
      </c>
      <c r="J12" s="323"/>
      <c r="K12" s="324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6" t="str">
        <f>'BR-100'!C13</f>
        <v>6 - Load Factor (LF) rating reported by rating factor (RF)</v>
      </c>
      <c r="F14" s="307"/>
      <c r="G14" s="20"/>
      <c r="H14" s="22" t="str">
        <f>"(708)"</f>
        <v>(708)</v>
      </c>
      <c r="I14" s="23" t="s">
        <v>229</v>
      </c>
      <c r="J14" s="306" t="str">
        <f>'BR-100'!C11</f>
        <v>3 - AASHTO  BrR (VIRTIS)</v>
      </c>
      <c r="K14" s="307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08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0.88600000000000001</v>
      </c>
      <c r="F16" s="309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6" t="str">
        <f>'BR-100'!C12</f>
        <v>1 - Plan information available for load rating analysis (Default)</v>
      </c>
      <c r="K16" s="307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6" t="str">
        <f>'BR-100'!F21</f>
        <v>HS20 Loading</v>
      </c>
      <c r="F18" s="307"/>
      <c r="G18" s="20"/>
      <c r="H18" s="19" t="str">
        <f>"(711)"</f>
        <v>(711)</v>
      </c>
      <c r="I18" s="20" t="s">
        <v>390</v>
      </c>
      <c r="J18" s="306" t="str">
        <f>'Calcs &amp; Signs'!D56</f>
        <v>S-Satisfactory</v>
      </c>
      <c r="K18" s="307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9" t="str">
        <f>'Calcs &amp; Signs'!D55</f>
        <v>A - Open, No Restriction</v>
      </c>
      <c r="F20" s="320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12" t="s">
        <v>389</v>
      </c>
      <c r="E22" s="313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14" t="s">
        <v>200</v>
      </c>
      <c r="C24" s="315"/>
      <c r="D24" s="315"/>
      <c r="E24" s="315"/>
      <c r="F24" s="315"/>
      <c r="G24" s="315"/>
      <c r="H24" s="315"/>
      <c r="I24" s="315"/>
      <c r="J24" s="315"/>
      <c r="K24" s="315"/>
      <c r="L24" s="316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6" t="str">
        <f>'Calcs &amp; Signs'!D48</f>
        <v>2F1</v>
      </c>
      <c r="F26" s="307"/>
      <c r="G26" s="20"/>
      <c r="H26" s="19" t="str">
        <f>"(724)"</f>
        <v>(724)</v>
      </c>
      <c r="I26" s="20" t="s">
        <v>210</v>
      </c>
      <c r="J26" s="306" t="str">
        <f>'Calcs &amp; Signs'!D53</f>
        <v>5C1</v>
      </c>
      <c r="K26" s="307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6">
        <f>'Calcs &amp; Signs'!D10</f>
        <v>15</v>
      </c>
      <c r="F28" s="307"/>
      <c r="G28" s="20" t="s">
        <v>222</v>
      </c>
      <c r="H28" s="19" t="str">
        <f>"(725)"</f>
        <v>(725)</v>
      </c>
      <c r="I28" s="20" t="s">
        <v>211</v>
      </c>
      <c r="J28" s="306">
        <f>'Calcs &amp; Signs'!E53</f>
        <v>40</v>
      </c>
      <c r="K28" s="307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08">
        <f>'Calcs &amp; Signs'!C48</f>
        <v>3.1019999999999999</v>
      </c>
      <c r="F30" s="309"/>
      <c r="G30" s="20"/>
      <c r="H30" s="19" t="str">
        <f>"(726)"</f>
        <v>(726)</v>
      </c>
      <c r="I30" s="20" t="s">
        <v>212</v>
      </c>
      <c r="J30" s="308">
        <f>'Calcs &amp; Signs'!C53</f>
        <v>1.4179999999999999</v>
      </c>
      <c r="K30" s="309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6" t="str">
        <f>'Calcs &amp; Signs'!D49</f>
        <v>3F1</v>
      </c>
      <c r="F32" s="307"/>
      <c r="G32" s="20"/>
      <c r="H32" s="19" t="str">
        <f>"(727)"</f>
        <v>(727)</v>
      </c>
      <c r="I32" s="20" t="s">
        <v>213</v>
      </c>
      <c r="J32" s="306" t="str">
        <f>'Calcs &amp; Signs'!D51</f>
        <v>SU5</v>
      </c>
      <c r="K32" s="307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6">
        <f>'Calcs &amp; Signs'!D11</f>
        <v>23</v>
      </c>
      <c r="F34" s="307"/>
      <c r="G34" s="20" t="s">
        <v>222</v>
      </c>
      <c r="H34" s="19" t="str">
        <f>"(728)"</f>
        <v>(728)</v>
      </c>
      <c r="I34" s="20" t="s">
        <v>214</v>
      </c>
      <c r="J34" s="306">
        <f>'Calcs &amp; Signs'!E51</f>
        <v>31</v>
      </c>
      <c r="K34" s="307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08">
        <f>'Calcs &amp; Signs'!C49</f>
        <v>2.1760000000000002</v>
      </c>
      <c r="F36" s="309"/>
      <c r="G36" s="20"/>
      <c r="H36" s="19" t="str">
        <f>"(729)"</f>
        <v>(729)</v>
      </c>
      <c r="I36" s="20" t="s">
        <v>215</v>
      </c>
      <c r="J36" s="308">
        <f>'Calcs &amp; Signs'!C51</f>
        <v>1.8009999999999999</v>
      </c>
      <c r="K36" s="309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6" t="str">
        <f>'Calcs &amp; Signs'!D50</f>
        <v>4F1</v>
      </c>
      <c r="F38" s="307"/>
      <c r="G38" s="20"/>
      <c r="H38" s="19" t="str">
        <f>"(730)"</f>
        <v>(730)</v>
      </c>
      <c r="I38" s="20" t="s">
        <v>216</v>
      </c>
      <c r="J38" s="306" t="str">
        <f>'Calcs &amp; Signs'!D52</f>
        <v>SU6</v>
      </c>
      <c r="K38" s="307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6">
        <f>'Calcs &amp; Signs'!D12</f>
        <v>27</v>
      </c>
      <c r="F40" s="307"/>
      <c r="G40" s="20" t="s">
        <v>222</v>
      </c>
      <c r="H40" s="19" t="str">
        <f>"(731)"</f>
        <v>(731)</v>
      </c>
      <c r="I40" s="20" t="s">
        <v>217</v>
      </c>
      <c r="J40" s="306">
        <f>'Calcs &amp; Signs'!E52</f>
        <v>34.75</v>
      </c>
      <c r="K40" s="307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08">
        <f>'Calcs &amp; Signs'!C50</f>
        <v>1.9750000000000001</v>
      </c>
      <c r="F42" s="309"/>
      <c r="G42" s="20"/>
      <c r="H42" s="19" t="str">
        <f>"(732)"</f>
        <v>(732)</v>
      </c>
      <c r="I42" s="20" t="s">
        <v>218</v>
      </c>
      <c r="J42" s="308">
        <f>'Calcs &amp; Signs'!C52</f>
        <v>1.629</v>
      </c>
      <c r="K42" s="309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6" t="str">
        <f>'Calcs &amp; Signs'!D58</f>
        <v>5 - Equal to or above legal loads</v>
      </c>
      <c r="F44" s="307"/>
      <c r="G44" s="20"/>
      <c r="H44" s="19" t="str">
        <f>"(733)"</f>
        <v>(733)</v>
      </c>
      <c r="I44" s="20" t="s">
        <v>219</v>
      </c>
      <c r="J44" s="306" t="str">
        <f>IF('Calcs &amp; Signs'!C22="No","N","Y")</f>
        <v>N</v>
      </c>
      <c r="K44" s="307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10">
        <f>'Calcs &amp; Signs'!D26*100</f>
        <v>140</v>
      </c>
      <c r="K46" s="311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05" t="str">
        <f>CONCATENATE('Calcs &amp; Signs'!B18,":  GVW = ", TEXT('Calcs &amp; Signs'!D18, "0.00"), " tons, Rating Factor = ",TEXT('Calcs &amp; Signs'!C18, "0.000"))</f>
        <v>EV2:  GVW = 28.75 tons, Rating Factor = 1.930</v>
      </c>
      <c r="E51" s="305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05" t="str">
        <f>CONCATENATE('Calcs &amp; Signs'!B19,":  GVW = ", TEXT('Calcs &amp; Signs'!D19, "0.00"), " tons, Rating Factor = ",TEXT('Calcs &amp; Signs'!C19, "0.000"))</f>
        <v>EV3:  GVW = 43.00 tons, Rating Factor = 1.280</v>
      </c>
      <c r="E52" s="305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  <mergeCell ref="J14:K14"/>
    <mergeCell ref="J16:K16"/>
    <mergeCell ref="J18:K18"/>
    <mergeCell ref="E26:F26"/>
    <mergeCell ref="J26:K26"/>
    <mergeCell ref="D22:E22"/>
    <mergeCell ref="E36:F36"/>
    <mergeCell ref="J46:K46"/>
    <mergeCell ref="J36:K36"/>
    <mergeCell ref="J38:K38"/>
    <mergeCell ref="J40:K40"/>
    <mergeCell ref="J42:K42"/>
    <mergeCell ref="J44:K44"/>
    <mergeCell ref="J28:K28"/>
    <mergeCell ref="J30:K30"/>
    <mergeCell ref="J32:K32"/>
    <mergeCell ref="J34:K34"/>
    <mergeCell ref="E28:F28"/>
    <mergeCell ref="E30:F30"/>
    <mergeCell ref="E32:F32"/>
    <mergeCell ref="E34:F34"/>
    <mergeCell ref="D51:E51"/>
    <mergeCell ref="D52:E52"/>
    <mergeCell ref="E38:F38"/>
    <mergeCell ref="E40:F40"/>
    <mergeCell ref="E42:F42"/>
    <mergeCell ref="E44:F44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54" t="s">
        <v>420</v>
      </c>
      <c r="C2" s="355"/>
      <c r="D2" s="60">
        <v>0.97499999999999998</v>
      </c>
      <c r="G2" s="76"/>
      <c r="H2" s="59" t="s">
        <v>361</v>
      </c>
      <c r="I2" s="160" t="b">
        <v>1</v>
      </c>
      <c r="K2" s="354" t="s">
        <v>364</v>
      </c>
      <c r="L2" s="355"/>
      <c r="M2" s="355"/>
      <c r="N2" s="358" t="str">
        <f>IF(M73&gt;0,"Disabled",IF(O3 = TRUE,"Manual",IF(C24="Yes","ClosureSign",IF(C22="Yes","LegalSign",IF(AND(C23="Yes",D23="Yes"),"EVSign","BlankSign")))))</f>
        <v>BlankSign</v>
      </c>
      <c r="O2" s="359"/>
    </row>
    <row r="3" spans="2:30" ht="15.75" thickBot="1" x14ac:dyDescent="0.3">
      <c r="B3" s="354" t="s">
        <v>399</v>
      </c>
      <c r="C3" s="355"/>
      <c r="D3" s="61">
        <v>2.99</v>
      </c>
      <c r="K3" s="352" t="s">
        <v>396</v>
      </c>
      <c r="L3" s="353"/>
      <c r="M3" s="353"/>
      <c r="N3" s="353"/>
      <c r="O3" s="149" t="b">
        <v>0</v>
      </c>
    </row>
    <row r="4" spans="2:30" ht="15.75" thickBot="1" x14ac:dyDescent="0.3">
      <c r="B4" s="354" t="s">
        <v>184</v>
      </c>
      <c r="C4" s="355"/>
      <c r="D4" s="61" t="str">
        <f>_xlfn.IFNA(VLOOKUP(D71,List!P3:R12,2,FALSE),"RF")</f>
        <v>RF</v>
      </c>
    </row>
    <row r="5" spans="2:30" ht="15.75" thickBot="1" x14ac:dyDescent="0.3">
      <c r="L5" s="360" t="s">
        <v>400</v>
      </c>
      <c r="M5" s="360"/>
      <c r="N5" s="360"/>
      <c r="P5" s="350" t="s">
        <v>362</v>
      </c>
      <c r="Q5" s="350"/>
      <c r="S5" s="350" t="s">
        <v>363</v>
      </c>
      <c r="T5" s="350"/>
      <c r="V5" s="401" t="s">
        <v>365</v>
      </c>
      <c r="W5" s="401"/>
      <c r="Y5" s="401" t="s">
        <v>393</v>
      </c>
      <c r="Z5" s="401"/>
      <c r="AB5" s="401" t="s">
        <v>395</v>
      </c>
      <c r="AC5" s="401"/>
      <c r="AD5" s="401"/>
    </row>
    <row r="6" spans="2:30" ht="15.75" thickBot="1" x14ac:dyDescent="0.3">
      <c r="B6" s="342" t="s">
        <v>254</v>
      </c>
      <c r="C6" s="342" t="s">
        <v>159</v>
      </c>
      <c r="D6" s="342" t="s">
        <v>352</v>
      </c>
      <c r="E6" s="344" t="s">
        <v>412</v>
      </c>
      <c r="F6" s="345"/>
      <c r="G6" s="345" t="s">
        <v>353</v>
      </c>
      <c r="H6" s="162"/>
      <c r="L6" s="406" t="s">
        <v>349</v>
      </c>
      <c r="M6" s="407"/>
      <c r="N6" s="408"/>
      <c r="P6" s="56"/>
      <c r="Q6" s="56"/>
      <c r="S6" s="114"/>
      <c r="T6" s="114"/>
      <c r="V6" s="134"/>
      <c r="W6" s="134"/>
      <c r="Y6" s="134"/>
      <c r="Z6" s="134"/>
      <c r="AB6" s="410" t="s">
        <v>349</v>
      </c>
      <c r="AC6" s="411"/>
      <c r="AD6" s="412"/>
    </row>
    <row r="7" spans="2:30" ht="15" customHeight="1" thickBot="1" x14ac:dyDescent="0.3">
      <c r="B7" s="343"/>
      <c r="C7" s="343"/>
      <c r="D7" s="343"/>
      <c r="E7" s="346"/>
      <c r="F7" s="347"/>
      <c r="G7" s="347"/>
      <c r="H7" s="162"/>
      <c r="L7" s="395"/>
      <c r="M7" s="409"/>
      <c r="N7" s="396"/>
      <c r="P7" s="46"/>
      <c r="Q7" s="46"/>
      <c r="S7" s="113"/>
      <c r="T7" s="147"/>
      <c r="V7" s="51"/>
      <c r="W7" s="148"/>
      <c r="Y7" s="51"/>
      <c r="Z7" s="51"/>
      <c r="AB7" s="413"/>
      <c r="AC7" s="414"/>
      <c r="AD7" s="415"/>
    </row>
    <row r="8" spans="2:30" ht="15" customHeight="1" x14ac:dyDescent="0.25">
      <c r="B8" s="104" t="s">
        <v>350</v>
      </c>
      <c r="C8" s="135">
        <f>'BR-100'!K21</f>
        <v>0.88600000000000001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95" t="s">
        <v>382</v>
      </c>
      <c r="T8" s="396"/>
      <c r="V8" s="387" t="s">
        <v>366</v>
      </c>
      <c r="W8" s="388"/>
      <c r="Y8" s="385" t="s">
        <v>391</v>
      </c>
      <c r="Z8" s="385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1.48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95"/>
      <c r="T9" s="396"/>
      <c r="V9" s="389"/>
      <c r="W9" s="390"/>
      <c r="Y9" s="385" t="s">
        <v>392</v>
      </c>
      <c r="Z9" s="385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3.1019999999999999</v>
      </c>
      <c r="D10" s="164">
        <v>15</v>
      </c>
      <c r="E10" s="350">
        <f>IF(C10&gt;=$D$2,D10,C10*D10)</f>
        <v>15</v>
      </c>
      <c r="F10" s="350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89"/>
      <c r="W10" s="390"/>
      <c r="Y10" s="385" t="s">
        <v>393</v>
      </c>
      <c r="Z10" s="385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2.1760000000000002</v>
      </c>
      <c r="D11" s="164">
        <v>23</v>
      </c>
      <c r="E11" s="350">
        <f t="shared" ref="E11:E19" si="0">IF(C11&gt;=$D$2,D11,C11*D11)</f>
        <v>23</v>
      </c>
      <c r="F11" s="350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91"/>
      <c r="W11" s="392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1.9750000000000001</v>
      </c>
      <c r="D12" s="164">
        <v>27</v>
      </c>
      <c r="E12" s="350">
        <f t="shared" si="0"/>
        <v>27</v>
      </c>
      <c r="F12" s="350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1.4179999999999999</v>
      </c>
      <c r="D13" s="164">
        <v>40</v>
      </c>
      <c r="E13" s="350">
        <f t="shared" si="0"/>
        <v>40</v>
      </c>
      <c r="F13" s="350"/>
      <c r="G13" s="165" t="str">
        <f t="shared" si="1"/>
        <v>No</v>
      </c>
      <c r="H13" s="161"/>
      <c r="L13" s="352"/>
      <c r="M13" s="353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404"/>
      <c r="AC13" s="405"/>
      <c r="AD13" s="146">
        <v>0</v>
      </c>
    </row>
    <row r="14" spans="2:30" ht="15.75" thickBot="1" x14ac:dyDescent="0.3">
      <c r="B14" s="106" t="s">
        <v>1</v>
      </c>
      <c r="C14" s="63">
        <f>'BR-100'!C28</f>
        <v>1.96</v>
      </c>
      <c r="D14" s="164">
        <v>27</v>
      </c>
      <c r="E14" s="350">
        <f t="shared" si="0"/>
        <v>27</v>
      </c>
      <c r="F14" s="350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1.8009999999999999</v>
      </c>
      <c r="D15" s="164">
        <v>31</v>
      </c>
      <c r="E15" s="350">
        <f t="shared" si="0"/>
        <v>31</v>
      </c>
      <c r="F15" s="350"/>
      <c r="G15" s="165" t="str">
        <f t="shared" si="1"/>
        <v>No</v>
      </c>
      <c r="H15" s="161"/>
      <c r="L15" s="416" t="s">
        <v>411</v>
      </c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8"/>
    </row>
    <row r="16" spans="2:30" x14ac:dyDescent="0.25">
      <c r="B16" s="62" t="s">
        <v>3</v>
      </c>
      <c r="C16" s="63">
        <f>'BR-100'!C31</f>
        <v>1.629</v>
      </c>
      <c r="D16" s="164">
        <v>34.75</v>
      </c>
      <c r="E16" s="350">
        <f t="shared" si="0"/>
        <v>34.75</v>
      </c>
      <c r="F16" s="350"/>
      <c r="G16" s="165" t="str">
        <f t="shared" si="1"/>
        <v>No</v>
      </c>
      <c r="H16" s="161"/>
      <c r="L16" s="80"/>
      <c r="M16" s="397" t="s">
        <v>410</v>
      </c>
      <c r="N16" s="397"/>
      <c r="O16" s="397"/>
      <c r="P16" s="397"/>
      <c r="Q16" s="397"/>
      <c r="R16" s="397"/>
      <c r="S16" s="397"/>
      <c r="T16" s="397"/>
      <c r="U16" s="397"/>
      <c r="V16" s="397"/>
      <c r="W16" s="398"/>
    </row>
    <row r="17" spans="2:23" ht="15" customHeight="1" thickBot="1" x14ac:dyDescent="0.3">
      <c r="B17" s="62" t="s">
        <v>4</v>
      </c>
      <c r="C17" s="63">
        <f>'BR-100'!C32</f>
        <v>1.472</v>
      </c>
      <c r="D17" s="164">
        <v>38.75</v>
      </c>
      <c r="E17" s="350">
        <f t="shared" si="0"/>
        <v>38.75</v>
      </c>
      <c r="F17" s="350"/>
      <c r="G17" s="165" t="str">
        <f t="shared" si="1"/>
        <v>No</v>
      </c>
      <c r="H17" s="161"/>
      <c r="L17" s="93"/>
      <c r="M17" s="399" t="s">
        <v>409</v>
      </c>
      <c r="N17" s="399"/>
      <c r="O17" s="399"/>
      <c r="P17" s="399"/>
      <c r="Q17" s="399"/>
      <c r="R17" s="399"/>
      <c r="S17" s="399"/>
      <c r="T17" s="399"/>
      <c r="U17" s="399"/>
      <c r="V17" s="399"/>
      <c r="W17" s="400"/>
    </row>
    <row r="18" spans="2:23" x14ac:dyDescent="0.25">
      <c r="B18" s="103" t="s">
        <v>262</v>
      </c>
      <c r="C18" s="63">
        <f>'BR-100'!C35</f>
        <v>1.93</v>
      </c>
      <c r="D18" s="164">
        <v>28.75</v>
      </c>
      <c r="E18" s="350">
        <f t="shared" si="0"/>
        <v>28.75</v>
      </c>
      <c r="F18" s="350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1.28</v>
      </c>
      <c r="D19" s="163">
        <v>43</v>
      </c>
      <c r="E19" s="360">
        <f t="shared" si="0"/>
        <v>43</v>
      </c>
      <c r="F19" s="360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56" t="s">
        <v>357</v>
      </c>
      <c r="C21" s="357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1.4000000000000001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402" t="str">
        <f>IF(C24="Yes", "BRIDGE CLOSURE RECOMMENDED",IF(C22="Yes","LOAD POSTING IS RECOMMENDED", IF(AND(C23="Yes",D23="Yes"),"EV Posting Recommended","No Load Posting is Recommended")))</f>
        <v>No Load Posting is Recommended</v>
      </c>
      <c r="E27" s="402"/>
      <c r="F27" s="402"/>
      <c r="G27" s="403"/>
    </row>
    <row r="29" spans="2:23" ht="15.75" x14ac:dyDescent="0.25">
      <c r="B29" s="371" t="s">
        <v>398</v>
      </c>
      <c r="C29" s="371"/>
      <c r="D29" s="371"/>
      <c r="E29" s="371"/>
      <c r="F29" s="371"/>
      <c r="G29" s="371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1.93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48">
        <f>MIN($D$31*D32,D32)</f>
        <v>57.5</v>
      </c>
      <c r="G32" s="349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72">
        <f t="shared" ref="F33:F34" si="2">MIN($D$31*D33,D33)</f>
        <v>24</v>
      </c>
      <c r="G33" s="373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74">
        <f t="shared" si="2"/>
        <v>33.5</v>
      </c>
      <c r="G34" s="375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1.28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48">
        <f>MIN($D$36*D37,D37)</f>
        <v>86</v>
      </c>
      <c r="G37" s="349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72">
        <f t="shared" ref="F38:F39" si="3">MIN($D$36*D38,D38)</f>
        <v>24</v>
      </c>
      <c r="G38" s="373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74">
        <f t="shared" si="3"/>
        <v>62</v>
      </c>
      <c r="G39" s="375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76">
        <f>MAX(F33,F34)/2</f>
        <v>16.75</v>
      </c>
      <c r="F41" s="376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70">
        <f>F39/2</f>
        <v>31</v>
      </c>
      <c r="F42" s="370"/>
      <c r="G42" s="69"/>
    </row>
    <row r="44" spans="2:8" ht="15.75" x14ac:dyDescent="0.25">
      <c r="B44" s="363" t="s">
        <v>402</v>
      </c>
      <c r="C44" s="363"/>
      <c r="D44" s="363"/>
      <c r="E44" s="363"/>
      <c r="F44" s="363"/>
      <c r="G44" s="363"/>
    </row>
    <row r="45" spans="2:8" ht="7.5" customHeight="1" thickBot="1" x14ac:dyDescent="0.3"/>
    <row r="46" spans="2:8" ht="15.75" thickBot="1" x14ac:dyDescent="0.3">
      <c r="B46" s="339" t="s">
        <v>376</v>
      </c>
      <c r="C46" s="340"/>
      <c r="D46" s="340"/>
      <c r="E46" s="340"/>
      <c r="F46" s="340"/>
      <c r="G46" s="341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50" t="s">
        <v>406</v>
      </c>
      <c r="G47" s="351"/>
    </row>
    <row r="48" spans="2:8" x14ac:dyDescent="0.25">
      <c r="B48" s="103" t="s">
        <v>258</v>
      </c>
      <c r="C48" s="109">
        <f>C10</f>
        <v>3.1019999999999999</v>
      </c>
      <c r="D48" s="108" t="str">
        <f>B10</f>
        <v>2F1</v>
      </c>
      <c r="E48" s="108">
        <f>D10</f>
        <v>15</v>
      </c>
      <c r="F48" s="335">
        <f>C48*E48</f>
        <v>46.53</v>
      </c>
      <c r="G48" s="336"/>
    </row>
    <row r="49" spans="2:8" x14ac:dyDescent="0.25">
      <c r="B49" s="103" t="s">
        <v>259</v>
      </c>
      <c r="C49" s="109">
        <f>C11</f>
        <v>2.1760000000000002</v>
      </c>
      <c r="D49" s="108" t="str">
        <f>B11</f>
        <v>3F1</v>
      </c>
      <c r="E49" s="108">
        <f>D11</f>
        <v>23</v>
      </c>
      <c r="F49" s="335">
        <f>E11</f>
        <v>23</v>
      </c>
      <c r="G49" s="336"/>
    </row>
    <row r="50" spans="2:8" x14ac:dyDescent="0.25">
      <c r="B50" s="103" t="s">
        <v>260</v>
      </c>
      <c r="C50" s="109">
        <f>IF(F50=E12,C12,C14)</f>
        <v>1.9750000000000001</v>
      </c>
      <c r="D50" s="108" t="str">
        <f>IF(F50=E12,B12,B14)</f>
        <v>4F1</v>
      </c>
      <c r="E50" s="108">
        <f>IF(F50=E12,D12,D14)</f>
        <v>27</v>
      </c>
      <c r="F50" s="335">
        <f>MIN(E12,E14)</f>
        <v>27</v>
      </c>
      <c r="G50" s="336"/>
      <c r="H50" t="s">
        <v>414</v>
      </c>
    </row>
    <row r="51" spans="2:8" x14ac:dyDescent="0.25">
      <c r="B51" s="103" t="s">
        <v>261</v>
      </c>
      <c r="C51" s="109">
        <f>C15</f>
        <v>1.8009999999999999</v>
      </c>
      <c r="D51" s="108" t="str">
        <f>B15</f>
        <v>SU5</v>
      </c>
      <c r="E51" s="108">
        <f>D15</f>
        <v>31</v>
      </c>
      <c r="F51" s="335">
        <f>E15</f>
        <v>31</v>
      </c>
      <c r="G51" s="336"/>
    </row>
    <row r="52" spans="2:8" x14ac:dyDescent="0.25">
      <c r="B52" s="103" t="s">
        <v>377</v>
      </c>
      <c r="C52" s="109">
        <f>IF(F52=E16,C16,C17)</f>
        <v>1.629</v>
      </c>
      <c r="D52" s="108" t="str">
        <f>IF(F52=E16,B16,B17)</f>
        <v>SU6</v>
      </c>
      <c r="E52" s="108">
        <f>IF(F52=E16,D16,D17)</f>
        <v>34.75</v>
      </c>
      <c r="F52" s="335">
        <f>MIN(E16,E17)</f>
        <v>34.75</v>
      </c>
      <c r="G52" s="336"/>
      <c r="H52" t="s">
        <v>413</v>
      </c>
    </row>
    <row r="53" spans="2:8" ht="15.75" thickBot="1" x14ac:dyDescent="0.3">
      <c r="B53" s="110" t="s">
        <v>158</v>
      </c>
      <c r="C53" s="111">
        <f>C13</f>
        <v>1.4179999999999999</v>
      </c>
      <c r="D53" s="112" t="str">
        <f>B13</f>
        <v>5C1</v>
      </c>
      <c r="E53" s="112">
        <f>D13</f>
        <v>40</v>
      </c>
      <c r="F53" s="337">
        <f>E13</f>
        <v>40</v>
      </c>
      <c r="G53" s="338"/>
    </row>
    <row r="54" spans="2:8" ht="15.75" thickBot="1" x14ac:dyDescent="0.3"/>
    <row r="55" spans="2:8" x14ac:dyDescent="0.25">
      <c r="B55" s="331" t="s">
        <v>386</v>
      </c>
      <c r="C55" s="332"/>
      <c r="D55" s="364" t="str">
        <f>IF(C24="Yes","K - Bridge Closed to all Traffic", IF(OR(C22="Yes",AND(C23="Yes",D23="Yes")),"P - Posted for Load-Carrying Restriction","A - Open, No Restriction"))</f>
        <v>A - Open, No Restriction</v>
      </c>
      <c r="E55" s="364"/>
      <c r="F55" s="364"/>
      <c r="G55" s="364"/>
      <c r="H55" s="365"/>
    </row>
    <row r="56" spans="2:8" x14ac:dyDescent="0.25">
      <c r="B56" s="333" t="s">
        <v>385</v>
      </c>
      <c r="C56" s="334"/>
      <c r="D56" s="327" t="str">
        <f>IF(MIN(C10:C17)&gt;D2,"S-Satisfactory","E-Excessive")</f>
        <v>S-Satisfactory</v>
      </c>
      <c r="E56" s="327"/>
      <c r="F56" s="327"/>
      <c r="G56" s="327"/>
      <c r="H56" s="328"/>
    </row>
    <row r="57" spans="2:8" x14ac:dyDescent="0.25">
      <c r="B57" s="333" t="s">
        <v>381</v>
      </c>
      <c r="C57" s="334"/>
      <c r="D57" s="329">
        <f>MIN(C10:C17,1.5)*100</f>
        <v>141.79999999999998</v>
      </c>
      <c r="E57" s="329"/>
      <c r="F57" s="329"/>
      <c r="G57" s="329"/>
      <c r="H57" s="330"/>
    </row>
    <row r="58" spans="2:8" ht="15.75" thickBot="1" x14ac:dyDescent="0.3">
      <c r="B58" s="368" t="s">
        <v>221</v>
      </c>
      <c r="C58" s="369"/>
      <c r="D58" s="325" t="str">
        <f>IF(MIN(C10:C17)&lt;0.975,IF(MIN(C10:C17)&gt;0.9,List!X7,IF(MIN(C10:C17)&gt;0.8,List!X6,IF(MIN(C10:C17)&gt;0.7,List!X5,IF(MIN(C10:C17)&gt;0.6,List!X4,List!X3)))),List!X8)</f>
        <v>5 - Equal to or above legal loads</v>
      </c>
      <c r="E58" s="325"/>
      <c r="F58" s="325"/>
      <c r="G58" s="325"/>
      <c r="H58" s="326"/>
    </row>
    <row r="60" spans="2:8" ht="15.75" x14ac:dyDescent="0.25">
      <c r="B60" s="366" t="s">
        <v>397</v>
      </c>
      <c r="C60" s="366"/>
      <c r="D60" s="366"/>
      <c r="E60" s="366"/>
      <c r="F60" s="366"/>
      <c r="G60" s="366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0.88600000000000001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1.48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9" t="s">
        <v>388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1"/>
    </row>
    <row r="67" spans="2:16" x14ac:dyDescent="0.25">
      <c r="B67" s="382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 t="s">
        <v>387</v>
      </c>
      <c r="N67" s="383"/>
      <c r="O67" s="383"/>
      <c r="P67" s="393"/>
    </row>
    <row r="68" spans="2:16" x14ac:dyDescent="0.25">
      <c r="B68" s="377" t="s">
        <v>14</v>
      </c>
      <c r="C68" s="378"/>
      <c r="D68" s="384" t="str">
        <f>'BR-100'!C10</f>
        <v>8 - Update Analysis Model and Software</v>
      </c>
      <c r="E68" s="384"/>
      <c r="F68" s="384"/>
      <c r="G68" s="384"/>
      <c r="H68" s="384"/>
      <c r="I68" s="384"/>
      <c r="J68" s="384"/>
      <c r="K68" s="384"/>
      <c r="L68" s="384"/>
      <c r="M68" s="378" t="b">
        <f>ISNA(VLOOKUP(D68,Purpose,1,FALSE))</f>
        <v>0</v>
      </c>
      <c r="N68" s="378"/>
      <c r="O68" s="378"/>
      <c r="P68" s="394"/>
    </row>
    <row r="69" spans="2:16" x14ac:dyDescent="0.25">
      <c r="B69" s="377" t="s">
        <v>15</v>
      </c>
      <c r="C69" s="378"/>
      <c r="D69" s="384" t="str">
        <f>'BR-100'!C11</f>
        <v>3 - AASHTO  BrR (VIRTIS)</v>
      </c>
      <c r="E69" s="384"/>
      <c r="F69" s="384"/>
      <c r="G69" s="384"/>
      <c r="H69" s="384"/>
      <c r="I69" s="384"/>
      <c r="J69" s="384"/>
      <c r="K69" s="384"/>
      <c r="L69" s="384"/>
      <c r="M69" s="378" t="b">
        <f>ISNA(VLOOKUP(D69,Software,1,FALSE))</f>
        <v>0</v>
      </c>
      <c r="N69" s="378"/>
      <c r="O69" s="378"/>
      <c r="P69" s="394"/>
    </row>
    <row r="70" spans="2:16" x14ac:dyDescent="0.25">
      <c r="B70" s="377" t="s">
        <v>16</v>
      </c>
      <c r="C70" s="378"/>
      <c r="D70" s="384" t="str">
        <f>'BR-100'!C12</f>
        <v>1 - Plan information available for load rating analysis (Default)</v>
      </c>
      <c r="E70" s="384"/>
      <c r="F70" s="384"/>
      <c r="G70" s="384"/>
      <c r="H70" s="384"/>
      <c r="I70" s="384"/>
      <c r="J70" s="384"/>
      <c r="K70" s="384"/>
      <c r="L70" s="384"/>
      <c r="M70" s="378" t="b">
        <f>ISNA(VLOOKUP(D70,Source,1,FALSE))</f>
        <v>0</v>
      </c>
      <c r="N70" s="378"/>
      <c r="O70" s="378"/>
      <c r="P70" s="394"/>
    </row>
    <row r="71" spans="2:16" x14ac:dyDescent="0.25">
      <c r="B71" s="377" t="s">
        <v>151</v>
      </c>
      <c r="C71" s="378"/>
      <c r="D71" s="384" t="str">
        <f>'BR-100'!C13</f>
        <v>6 - Load Factor (LF) rating reported by rating factor (RF)</v>
      </c>
      <c r="E71" s="384"/>
      <c r="F71" s="384"/>
      <c r="G71" s="384"/>
      <c r="H71" s="384"/>
      <c r="I71" s="384"/>
      <c r="J71" s="384"/>
      <c r="K71" s="384"/>
      <c r="L71" s="384"/>
      <c r="M71" s="378" t="b">
        <f>ISNA(VLOOKUP(D71,Method,1,FALSE))</f>
        <v>0</v>
      </c>
      <c r="N71" s="378"/>
      <c r="O71" s="378"/>
      <c r="P71" s="394"/>
    </row>
    <row r="72" spans="2:16" ht="15.75" thickBot="1" x14ac:dyDescent="0.3">
      <c r="B72" s="361" t="s">
        <v>17</v>
      </c>
      <c r="C72" s="362"/>
      <c r="D72" s="367" t="str">
        <f>'BR-100'!C14</f>
        <v>6 - HS20-44 &amp; Alternate Military Loading</v>
      </c>
      <c r="E72" s="367"/>
      <c r="F72" s="367"/>
      <c r="G72" s="367"/>
      <c r="H72" s="367"/>
      <c r="I72" s="367"/>
      <c r="J72" s="367"/>
      <c r="K72" s="367"/>
      <c r="L72" s="367"/>
      <c r="M72" s="362" t="b">
        <f>ISNA(VLOOKUP(D72,Design,1,FALSE))</f>
        <v>0</v>
      </c>
      <c r="N72" s="362"/>
      <c r="O72" s="362"/>
      <c r="P72" s="386"/>
    </row>
    <row r="73" spans="2:16" ht="15.75" thickBot="1" x14ac:dyDescent="0.3">
      <c r="M73" s="339">
        <f>COUNTIF(M68:P72,TRUE)</f>
        <v>0</v>
      </c>
      <c r="N73" s="340"/>
      <c r="O73" s="340"/>
      <c r="P73" s="341"/>
    </row>
  </sheetData>
  <sheetProtection sheet="1" objects="1" scenarios="1"/>
  <mergeCells count="87"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D58:H58"/>
    <mergeCell ref="D56:H56"/>
    <mergeCell ref="D57:H57"/>
    <mergeCell ref="B55:C55"/>
    <mergeCell ref="B56:C56"/>
    <mergeCell ref="B57:C5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Jeremy Fisher</cp:lastModifiedBy>
  <cp:lastPrinted>2017-05-24T16:16:51Z</cp:lastPrinted>
  <dcterms:created xsi:type="dcterms:W3CDTF">2015-02-24T16:25:39Z</dcterms:created>
  <dcterms:modified xsi:type="dcterms:W3CDTF">2018-01-12T18:20:24Z</dcterms:modified>
</cp:coreProperties>
</file>