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jbinc-my.sharepoint.com/personal/rnunna_ljbinc_com/Documents/FRA-33/"/>
    </mc:Choice>
  </mc:AlternateContent>
  <xr:revisionPtr revIDLastSave="4160" documentId="8_{825F510E-C444-4FA7-B2F9-FEC21ED2440C}" xr6:coauthVersionLast="47" xr6:coauthVersionMax="47" xr10:uidLastSave="{6845C64C-525F-48EF-B411-105380B83982}"/>
  <bookViews>
    <workbookView xWindow="-108" yWindow="-108" windowWidth="23256" windowHeight="12456" activeTab="2" xr2:uid="{3638F5DE-1812-42E3-9602-A6A2D7046D14}"/>
  </bookViews>
  <sheets>
    <sheet name="Curve Data" sheetId="1" r:id="rId1"/>
    <sheet name="Future_Deficient SHLD WIDTH" sheetId="2" r:id="rId2"/>
    <sheet name="Curve#2_PI 1243+94.772" sheetId="3" r:id="rId3"/>
    <sheet name="Curve#3_PI 1306+15.35" sheetId="5" r:id="rId4"/>
    <sheet name="Curve#4_PI 1340+75.22" sheetId="7" r:id="rId5"/>
    <sheet name="Curve#5_PI 1456+04.84" sheetId="8" r:id="rId6"/>
    <sheet name="Curve#6_PI 1485+56.44" sheetId="9" r:id="rId7"/>
    <sheet name="Curve#7_PI 1553+48.65" sheetId="10" r:id="rId8"/>
    <sheet name="Curve#8_PI 1645+31.14" sheetId="11" r:id="rId9"/>
    <sheet name="Curve#9_PI 26+60.19" sheetId="12" r:id="rId10"/>
    <sheet name="Curve#10_PI 50+14.02" sheetId="13" r:id="rId11"/>
    <sheet name="Sheet1" sheetId="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11" l="1"/>
  <c r="K59" i="11"/>
  <c r="B16" i="3"/>
  <c r="B15" i="3"/>
  <c r="B12" i="3"/>
  <c r="S101" i="13"/>
  <c r="S100" i="13"/>
  <c r="S99" i="13"/>
  <c r="S97" i="13"/>
  <c r="P90" i="13"/>
  <c r="V74" i="12"/>
  <c r="V75" i="12"/>
  <c r="U74" i="12"/>
  <c r="T74" i="12"/>
  <c r="S74" i="12"/>
  <c r="S67" i="12"/>
  <c r="U67" i="12"/>
  <c r="T67" i="12"/>
  <c r="K70" i="12"/>
  <c r="M67" i="12"/>
  <c r="L67" i="12"/>
  <c r="K67" i="12"/>
  <c r="K74" i="12"/>
  <c r="M74" i="12"/>
  <c r="L74" i="12"/>
  <c r="P69" i="12"/>
  <c r="F4" i="12"/>
  <c r="B18" i="12"/>
  <c r="B18" i="11"/>
  <c r="B17" i="11"/>
  <c r="E4" i="11"/>
  <c r="E4" i="10"/>
  <c r="E5" i="9"/>
  <c r="E5" i="8"/>
  <c r="E4" i="7"/>
  <c r="E4" i="5"/>
  <c r="F3" i="3"/>
  <c r="P70" i="13"/>
  <c r="B35" i="13"/>
  <c r="B34" i="13"/>
  <c r="B32" i="13"/>
  <c r="B18" i="13"/>
  <c r="B17" i="13"/>
  <c r="B15" i="13"/>
  <c r="Q91" i="12"/>
  <c r="Q90" i="12"/>
  <c r="Q89" i="12"/>
  <c r="Q88" i="12"/>
  <c r="P91" i="12"/>
  <c r="L104" i="12" s="1"/>
  <c r="B35" i="12"/>
  <c r="B34" i="12"/>
  <c r="B32" i="12"/>
  <c r="Q84" i="12"/>
  <c r="Q83" i="12"/>
  <c r="Q82" i="12"/>
  <c r="B17" i="12"/>
  <c r="B15" i="12"/>
  <c r="P90" i="11"/>
  <c r="I81" i="11"/>
  <c r="B32" i="11"/>
  <c r="P97" i="11" s="1"/>
  <c r="B15" i="11"/>
  <c r="B35" i="11"/>
  <c r="B34" i="11"/>
  <c r="B30" i="12"/>
  <c r="U85" i="13"/>
  <c r="T85" i="13"/>
  <c r="S85" i="13"/>
  <c r="J85" i="13"/>
  <c r="U84" i="13"/>
  <c r="T84" i="13"/>
  <c r="S84" i="13"/>
  <c r="J84" i="13"/>
  <c r="U83" i="13"/>
  <c r="T83" i="13"/>
  <c r="S83" i="13"/>
  <c r="J83" i="13"/>
  <c r="J82" i="13"/>
  <c r="J78" i="13"/>
  <c r="J77" i="13"/>
  <c r="J76" i="13"/>
  <c r="C28" i="13"/>
  <c r="B28" i="13"/>
  <c r="F25" i="13"/>
  <c r="E25" i="13"/>
  <c r="J91" i="12"/>
  <c r="J90" i="12"/>
  <c r="J89" i="12"/>
  <c r="J88" i="12"/>
  <c r="J84" i="12"/>
  <c r="J83" i="12"/>
  <c r="J82" i="12"/>
  <c r="E23" i="12"/>
  <c r="E38" i="12" s="1"/>
  <c r="V91" i="12"/>
  <c r="V90" i="12"/>
  <c r="V89" i="12"/>
  <c r="V88" i="12"/>
  <c r="V83" i="12"/>
  <c r="V84" i="12" s="1"/>
  <c r="V82" i="12"/>
  <c r="J85" i="11"/>
  <c r="J84" i="11"/>
  <c r="J83" i="11"/>
  <c r="J82" i="11"/>
  <c r="J76" i="11"/>
  <c r="E25" i="11"/>
  <c r="B28" i="11"/>
  <c r="C28" i="11"/>
  <c r="F25" i="11"/>
  <c r="Q60" i="10"/>
  <c r="Q57" i="10"/>
  <c r="O85" i="10"/>
  <c r="M84" i="10"/>
  <c r="M83" i="10"/>
  <c r="M82" i="10"/>
  <c r="M81" i="10"/>
  <c r="M80" i="10"/>
  <c r="M79" i="10"/>
  <c r="W85" i="10"/>
  <c r="V85" i="10"/>
  <c r="S85" i="10"/>
  <c r="O73" i="10"/>
  <c r="O79" i="9"/>
  <c r="O67" i="10"/>
  <c r="S69" i="10"/>
  <c r="S68" i="10"/>
  <c r="S67" i="10"/>
  <c r="S62" i="10"/>
  <c r="Q62" i="10"/>
  <c r="S89" i="10"/>
  <c r="O89" i="10"/>
  <c r="S88" i="10"/>
  <c r="O88" i="10"/>
  <c r="S87" i="10"/>
  <c r="O87" i="10"/>
  <c r="S86" i="10"/>
  <c r="O86" i="10"/>
  <c r="S84" i="10"/>
  <c r="S83" i="10"/>
  <c r="S82" i="10"/>
  <c r="Q80" i="10"/>
  <c r="S76" i="10"/>
  <c r="O76" i="10"/>
  <c r="S75" i="10"/>
  <c r="O75" i="10"/>
  <c r="S74" i="10"/>
  <c r="O74" i="10"/>
  <c r="S73" i="10"/>
  <c r="B32" i="10"/>
  <c r="B31" i="10"/>
  <c r="B29" i="10"/>
  <c r="C25" i="10"/>
  <c r="B25" i="10"/>
  <c r="F22" i="10"/>
  <c r="E22" i="10"/>
  <c r="B15" i="10"/>
  <c r="B14" i="10"/>
  <c r="B12" i="10"/>
  <c r="Q101" i="9"/>
  <c r="X82" i="9"/>
  <c r="X81" i="9"/>
  <c r="X80" i="9"/>
  <c r="X79" i="9"/>
  <c r="S82" i="9"/>
  <c r="S81" i="9"/>
  <c r="S80" i="9"/>
  <c r="S79" i="9"/>
  <c r="X79" i="7"/>
  <c r="X82" i="7"/>
  <c r="X81" i="7"/>
  <c r="X80" i="7"/>
  <c r="S82" i="7"/>
  <c r="S81" i="7"/>
  <c r="S80" i="7"/>
  <c r="S79" i="7"/>
  <c r="O82" i="9"/>
  <c r="O81" i="9"/>
  <c r="O80" i="9"/>
  <c r="O83" i="7"/>
  <c r="O82" i="7"/>
  <c r="O81" i="7"/>
  <c r="O80" i="7"/>
  <c r="O79" i="7"/>
  <c r="V64" i="7"/>
  <c r="V63" i="7"/>
  <c r="E22" i="9"/>
  <c r="B32" i="9"/>
  <c r="Q87" i="9"/>
  <c r="Q67" i="9"/>
  <c r="S101" i="9"/>
  <c r="O101" i="9"/>
  <c r="S100" i="9"/>
  <c r="O100" i="9"/>
  <c r="S99" i="9"/>
  <c r="O99" i="9"/>
  <c r="S98" i="9"/>
  <c r="O98" i="9"/>
  <c r="S97" i="9"/>
  <c r="S96" i="9"/>
  <c r="S95" i="9"/>
  <c r="S94" i="9"/>
  <c r="S93" i="9"/>
  <c r="S92" i="9"/>
  <c r="P73" i="9"/>
  <c r="P74" i="9" s="1"/>
  <c r="P75" i="9" s="1"/>
  <c r="J73" i="9"/>
  <c r="B31" i="9"/>
  <c r="B29" i="9"/>
  <c r="C25" i="9"/>
  <c r="B25" i="9"/>
  <c r="F22" i="9"/>
  <c r="B15" i="9"/>
  <c r="B14" i="9"/>
  <c r="B16" i="9" s="1"/>
  <c r="B12" i="9"/>
  <c r="E25" i="8"/>
  <c r="B26" i="8"/>
  <c r="E21" i="8"/>
  <c r="U85" i="8"/>
  <c r="U84" i="8"/>
  <c r="U83" i="8"/>
  <c r="U79" i="8"/>
  <c r="W66" i="8"/>
  <c r="V66" i="8"/>
  <c r="U66" i="8"/>
  <c r="U82" i="8"/>
  <c r="U81" i="8"/>
  <c r="U80" i="8"/>
  <c r="V78" i="8"/>
  <c r="S78" i="8"/>
  <c r="S79" i="8"/>
  <c r="W78" i="8"/>
  <c r="U78" i="8"/>
  <c r="W77" i="8"/>
  <c r="W76" i="8"/>
  <c r="W75" i="8"/>
  <c r="S74" i="8"/>
  <c r="O74" i="8"/>
  <c r="O75" i="8"/>
  <c r="O77" i="8"/>
  <c r="O76" i="8"/>
  <c r="Q85" i="8"/>
  <c r="S90" i="8"/>
  <c r="O90" i="8"/>
  <c r="S89" i="8"/>
  <c r="O89" i="8"/>
  <c r="S88" i="8"/>
  <c r="O88" i="8"/>
  <c r="S87" i="8"/>
  <c r="O87" i="8"/>
  <c r="S86" i="8"/>
  <c r="O86" i="8"/>
  <c r="R68" i="8"/>
  <c r="R69" i="8" s="1"/>
  <c r="O62" i="8"/>
  <c r="O61" i="8"/>
  <c r="O60" i="8"/>
  <c r="O59" i="8"/>
  <c r="O58" i="8"/>
  <c r="O57" i="8"/>
  <c r="O56" i="8"/>
  <c r="O55" i="8"/>
  <c r="O54" i="8"/>
  <c r="O53" i="8"/>
  <c r="E38" i="8"/>
  <c r="E39" i="8" s="1"/>
  <c r="E37" i="8"/>
  <c r="E36" i="8"/>
  <c r="B32" i="8"/>
  <c r="B31" i="8"/>
  <c r="B29" i="8"/>
  <c r="C25" i="8"/>
  <c r="B25" i="8"/>
  <c r="F22" i="8"/>
  <c r="B15" i="8"/>
  <c r="B14" i="8"/>
  <c r="B12" i="8"/>
  <c r="G27" i="7"/>
  <c r="G26" i="7"/>
  <c r="Q96" i="7"/>
  <c r="Q90" i="7"/>
  <c r="Q87" i="7"/>
  <c r="E22" i="7"/>
  <c r="S101" i="7"/>
  <c r="O101" i="7"/>
  <c r="S100" i="7"/>
  <c r="O100" i="7"/>
  <c r="S99" i="7"/>
  <c r="O99" i="7"/>
  <c r="S98" i="7"/>
  <c r="O98" i="7"/>
  <c r="S97" i="7"/>
  <c r="O97" i="7"/>
  <c r="S96" i="7"/>
  <c r="S95" i="7"/>
  <c r="S94" i="7"/>
  <c r="S93" i="7"/>
  <c r="S92" i="7"/>
  <c r="S91" i="7"/>
  <c r="P73" i="7"/>
  <c r="B32" i="7"/>
  <c r="B31" i="7"/>
  <c r="B29" i="7"/>
  <c r="C25" i="7"/>
  <c r="B25" i="7"/>
  <c r="F22" i="7"/>
  <c r="B15" i="7"/>
  <c r="B14" i="7"/>
  <c r="B16" i="7" s="1"/>
  <c r="B12" i="7"/>
  <c r="S115" i="5"/>
  <c r="S114" i="5"/>
  <c r="S113" i="5"/>
  <c r="S112" i="5"/>
  <c r="S111" i="5"/>
  <c r="S110" i="5"/>
  <c r="U110" i="5"/>
  <c r="U109" i="5"/>
  <c r="U108" i="5"/>
  <c r="U107" i="5"/>
  <c r="U106" i="5"/>
  <c r="U105" i="5"/>
  <c r="U104" i="5"/>
  <c r="W104" i="5"/>
  <c r="V104" i="5"/>
  <c r="W103" i="5"/>
  <c r="V103" i="5"/>
  <c r="U103" i="5"/>
  <c r="W102" i="5"/>
  <c r="V102" i="5"/>
  <c r="U102" i="5"/>
  <c r="W101" i="5"/>
  <c r="V101" i="5"/>
  <c r="U101" i="5"/>
  <c r="W100" i="5"/>
  <c r="V100" i="5"/>
  <c r="U100" i="5"/>
  <c r="W99" i="5"/>
  <c r="V99" i="5"/>
  <c r="U99" i="5"/>
  <c r="W98" i="5"/>
  <c r="V98" i="5"/>
  <c r="U98" i="5"/>
  <c r="W97" i="5"/>
  <c r="V97" i="5"/>
  <c r="U97" i="5"/>
  <c r="W96" i="5"/>
  <c r="V96" i="5"/>
  <c r="U96" i="5"/>
  <c r="W95" i="5"/>
  <c r="V95" i="5"/>
  <c r="U95" i="5"/>
  <c r="W94" i="5"/>
  <c r="V94" i="5"/>
  <c r="U94" i="5"/>
  <c r="W93" i="5"/>
  <c r="V93" i="5"/>
  <c r="U93" i="5"/>
  <c r="X92" i="5"/>
  <c r="X91" i="5"/>
  <c r="W92" i="5"/>
  <c r="W91" i="5"/>
  <c r="V92" i="5"/>
  <c r="V91" i="5"/>
  <c r="U92" i="5"/>
  <c r="U91" i="5"/>
  <c r="U90" i="5"/>
  <c r="S90" i="5"/>
  <c r="S92" i="5"/>
  <c r="S91" i="5"/>
  <c r="X90" i="5"/>
  <c r="W90" i="5"/>
  <c r="V90" i="5"/>
  <c r="L115" i="5"/>
  <c r="L114" i="5"/>
  <c r="K114" i="5"/>
  <c r="K115" i="5"/>
  <c r="L113" i="5"/>
  <c r="K113" i="5"/>
  <c r="L112" i="5"/>
  <c r="K112" i="5"/>
  <c r="L111" i="5"/>
  <c r="K111" i="5"/>
  <c r="L110" i="5"/>
  <c r="K110" i="5"/>
  <c r="L109" i="5"/>
  <c r="K109" i="5"/>
  <c r="L108" i="5"/>
  <c r="K108" i="5"/>
  <c r="L107" i="5"/>
  <c r="L106" i="5"/>
  <c r="L105" i="5"/>
  <c r="K107" i="5"/>
  <c r="K106" i="5"/>
  <c r="K105" i="5"/>
  <c r="K104" i="5"/>
  <c r="O104" i="5"/>
  <c r="M104" i="5"/>
  <c r="L104" i="5"/>
  <c r="M103" i="5"/>
  <c r="L103" i="5"/>
  <c r="K103" i="5"/>
  <c r="M102" i="5"/>
  <c r="L102" i="5"/>
  <c r="K102" i="5"/>
  <c r="M101" i="5"/>
  <c r="L101" i="5"/>
  <c r="K101" i="5"/>
  <c r="M100" i="5"/>
  <c r="L100" i="5"/>
  <c r="K100" i="5"/>
  <c r="M99" i="5"/>
  <c r="L99" i="5"/>
  <c r="K99" i="5"/>
  <c r="J98" i="5"/>
  <c r="J97" i="5"/>
  <c r="J96" i="5"/>
  <c r="J95" i="5"/>
  <c r="J94" i="5"/>
  <c r="J93" i="5"/>
  <c r="M98" i="5"/>
  <c r="L98" i="5"/>
  <c r="K98" i="5"/>
  <c r="M97" i="5"/>
  <c r="L97" i="5"/>
  <c r="K97" i="5"/>
  <c r="M96" i="5"/>
  <c r="L96" i="5"/>
  <c r="K96" i="5"/>
  <c r="M95" i="5"/>
  <c r="L95" i="5"/>
  <c r="K95" i="5"/>
  <c r="M94" i="5"/>
  <c r="L94" i="5"/>
  <c r="K94" i="5"/>
  <c r="M93" i="5"/>
  <c r="L93" i="5"/>
  <c r="K93" i="5"/>
  <c r="J92" i="5"/>
  <c r="J91" i="5"/>
  <c r="J90" i="5"/>
  <c r="P92" i="5"/>
  <c r="P91" i="5"/>
  <c r="M92" i="5"/>
  <c r="L92" i="5"/>
  <c r="K92" i="5"/>
  <c r="M91" i="5"/>
  <c r="L91" i="5"/>
  <c r="K91" i="5"/>
  <c r="P90" i="5"/>
  <c r="M90" i="5"/>
  <c r="L90" i="5"/>
  <c r="K90" i="5"/>
  <c r="O90" i="5"/>
  <c r="X82" i="5"/>
  <c r="X80" i="5"/>
  <c r="X81" i="5"/>
  <c r="X79" i="5"/>
  <c r="X78" i="5"/>
  <c r="X77" i="5"/>
  <c r="W79" i="5"/>
  <c r="V79" i="5"/>
  <c r="U79" i="5"/>
  <c r="W78" i="5"/>
  <c r="V78" i="5"/>
  <c r="U78" i="5"/>
  <c r="W77" i="5"/>
  <c r="V77" i="5"/>
  <c r="U77" i="5"/>
  <c r="W76" i="5"/>
  <c r="V76" i="5"/>
  <c r="U76" i="5"/>
  <c r="W75" i="5"/>
  <c r="V75" i="5"/>
  <c r="U75" i="5"/>
  <c r="W74" i="5"/>
  <c r="V74" i="5"/>
  <c r="U74" i="5"/>
  <c r="W73" i="5"/>
  <c r="V73" i="5"/>
  <c r="U73" i="5"/>
  <c r="W72" i="5"/>
  <c r="V72" i="5"/>
  <c r="U72" i="5"/>
  <c r="W71" i="5"/>
  <c r="V71" i="5"/>
  <c r="U71" i="5"/>
  <c r="W70" i="5"/>
  <c r="V70" i="5"/>
  <c r="U70" i="5"/>
  <c r="W69" i="5"/>
  <c r="V69" i="5"/>
  <c r="U69" i="5"/>
  <c r="W68" i="5"/>
  <c r="V68" i="5"/>
  <c r="U68" i="5"/>
  <c r="W67" i="5"/>
  <c r="V67" i="5"/>
  <c r="U67" i="5"/>
  <c r="W66" i="5"/>
  <c r="V66" i="5"/>
  <c r="U66" i="5"/>
  <c r="W65" i="5"/>
  <c r="V65" i="5"/>
  <c r="U65" i="5"/>
  <c r="S64" i="5"/>
  <c r="S63" i="5"/>
  <c r="S62" i="5"/>
  <c r="U64" i="5"/>
  <c r="U63" i="5"/>
  <c r="U62" i="5"/>
  <c r="S61" i="5"/>
  <c r="S60" i="5"/>
  <c r="U61" i="5"/>
  <c r="U60" i="5"/>
  <c r="U59" i="5"/>
  <c r="S59" i="5" s="1"/>
  <c r="P79" i="5"/>
  <c r="P86" i="5" s="1"/>
  <c r="P78" i="5"/>
  <c r="P77" i="5"/>
  <c r="O79" i="5"/>
  <c r="O78" i="5"/>
  <c r="O77" i="5"/>
  <c r="M79" i="5"/>
  <c r="L79" i="5"/>
  <c r="K79" i="5"/>
  <c r="J79" i="5"/>
  <c r="M78" i="5"/>
  <c r="L78" i="5"/>
  <c r="K78" i="5"/>
  <c r="J78" i="5"/>
  <c r="M77" i="5"/>
  <c r="L77" i="5"/>
  <c r="K77" i="5"/>
  <c r="J77" i="5"/>
  <c r="J76" i="5"/>
  <c r="J75" i="5"/>
  <c r="J74" i="5"/>
  <c r="J73" i="5"/>
  <c r="J72" i="5"/>
  <c r="J71" i="5"/>
  <c r="O76" i="5"/>
  <c r="O75" i="5"/>
  <c r="O74" i="5"/>
  <c r="O73" i="5"/>
  <c r="M76" i="5"/>
  <c r="L76" i="5"/>
  <c r="K76" i="5"/>
  <c r="M75" i="5"/>
  <c r="L75" i="5"/>
  <c r="K75" i="5"/>
  <c r="M74" i="5"/>
  <c r="L74" i="5"/>
  <c r="K74" i="5"/>
  <c r="M73" i="5"/>
  <c r="L73" i="5"/>
  <c r="K73" i="5"/>
  <c r="O72" i="5"/>
  <c r="O71" i="5"/>
  <c r="M72" i="5"/>
  <c r="L72" i="5"/>
  <c r="K72" i="5"/>
  <c r="M71" i="5"/>
  <c r="L71" i="5"/>
  <c r="K71" i="5"/>
  <c r="O70" i="5"/>
  <c r="O69" i="5"/>
  <c r="O68" i="5"/>
  <c r="O67" i="5"/>
  <c r="O66" i="5"/>
  <c r="M70" i="5"/>
  <c r="M69" i="5"/>
  <c r="M68" i="5"/>
  <c r="M67" i="5"/>
  <c r="M66" i="5"/>
  <c r="L70" i="5"/>
  <c r="L69" i="5"/>
  <c r="L68" i="5"/>
  <c r="L67" i="5"/>
  <c r="L66" i="5"/>
  <c r="K70" i="5"/>
  <c r="K69" i="5"/>
  <c r="K68" i="5"/>
  <c r="K67" i="5"/>
  <c r="K66" i="5"/>
  <c r="O65" i="5"/>
  <c r="M65" i="5"/>
  <c r="L65" i="5"/>
  <c r="K65" i="5"/>
  <c r="L64" i="5"/>
  <c r="K64" i="5"/>
  <c r="L63" i="5"/>
  <c r="K63" i="5"/>
  <c r="L62" i="5"/>
  <c r="K62" i="5"/>
  <c r="L61" i="5"/>
  <c r="L60" i="5"/>
  <c r="L59" i="5"/>
  <c r="K61" i="5"/>
  <c r="K60" i="5"/>
  <c r="K59" i="5"/>
  <c r="O58" i="5"/>
  <c r="O57" i="5"/>
  <c r="O56" i="5"/>
  <c r="O55" i="5"/>
  <c r="O54" i="5"/>
  <c r="O53" i="5"/>
  <c r="L58" i="5"/>
  <c r="L57" i="5"/>
  <c r="L56" i="5"/>
  <c r="L55" i="5"/>
  <c r="K58" i="5"/>
  <c r="K57" i="5"/>
  <c r="K56" i="5"/>
  <c r="K55" i="5"/>
  <c r="L54" i="5"/>
  <c r="K54" i="5"/>
  <c r="Q61" i="5"/>
  <c r="Q98" i="5"/>
  <c r="Q92" i="5"/>
  <c r="Q89" i="5"/>
  <c r="E20" i="5"/>
  <c r="B39" i="5"/>
  <c r="B38" i="5"/>
  <c r="B37" i="5"/>
  <c r="B20" i="5"/>
  <c r="B14" i="5"/>
  <c r="B17" i="5"/>
  <c r="O115" i="5"/>
  <c r="O114" i="5"/>
  <c r="O113" i="5"/>
  <c r="O112" i="5"/>
  <c r="O111" i="5"/>
  <c r="S109" i="5"/>
  <c r="S108" i="5"/>
  <c r="S107" i="5"/>
  <c r="S106" i="5"/>
  <c r="S105" i="5"/>
  <c r="E38" i="5"/>
  <c r="E40" i="5" s="1"/>
  <c r="E37" i="5"/>
  <c r="E36" i="5"/>
  <c r="B32" i="5"/>
  <c r="B31" i="5"/>
  <c r="B33" i="5" s="1"/>
  <c r="B29" i="5"/>
  <c r="C25" i="5"/>
  <c r="B25" i="5"/>
  <c r="F22" i="5"/>
  <c r="B15" i="5"/>
  <c r="B16" i="5"/>
  <c r="B12" i="5"/>
  <c r="B33" i="3"/>
  <c r="F22" i="3"/>
  <c r="B32" i="3"/>
  <c r="B31" i="3"/>
  <c r="C25" i="3"/>
  <c r="B29" i="3"/>
  <c r="B25" i="3"/>
  <c r="B14" i="3"/>
  <c r="P86" i="3"/>
  <c r="S115" i="3"/>
  <c r="S114" i="3"/>
  <c r="S113" i="3"/>
  <c r="S112" i="3"/>
  <c r="S111" i="3"/>
  <c r="O113" i="3"/>
  <c r="O112" i="3"/>
  <c r="S110" i="3"/>
  <c r="S109" i="3"/>
  <c r="S108" i="3"/>
  <c r="S107" i="3"/>
  <c r="S106" i="3"/>
  <c r="S105" i="3"/>
  <c r="O115" i="3"/>
  <c r="O114" i="3"/>
  <c r="O111" i="3"/>
  <c r="P80" i="3"/>
  <c r="P81" i="3" s="1"/>
  <c r="P82" i="3" s="1"/>
  <c r="P89" i="3" s="1"/>
  <c r="E24" i="12" l="1"/>
  <c r="B36" i="12"/>
  <c r="E26" i="12"/>
  <c r="E27" i="12"/>
  <c r="E29" i="12" s="1"/>
  <c r="B19" i="12"/>
  <c r="B19" i="11"/>
  <c r="B20" i="11" s="1"/>
  <c r="P61" i="11" s="1"/>
  <c r="B36" i="11"/>
  <c r="B36" i="13"/>
  <c r="S105" i="12"/>
  <c r="M104" i="12"/>
  <c r="K105" i="12"/>
  <c r="E30" i="12"/>
  <c r="E41" i="12"/>
  <c r="E40" i="12"/>
  <c r="E39" i="12"/>
  <c r="T92" i="12"/>
  <c r="U99" i="12"/>
  <c r="S107" i="12"/>
  <c r="K92" i="12"/>
  <c r="L99" i="12"/>
  <c r="M106" i="12"/>
  <c r="S98" i="12"/>
  <c r="U98" i="12"/>
  <c r="M98" i="12"/>
  <c r="S92" i="12"/>
  <c r="Q92" i="12" s="1"/>
  <c r="U92" i="12"/>
  <c r="M99" i="12"/>
  <c r="K107" i="12"/>
  <c r="U105" i="12"/>
  <c r="P102" i="12"/>
  <c r="M92" i="12"/>
  <c r="K100" i="12"/>
  <c r="L107" i="12"/>
  <c r="S93" i="12"/>
  <c r="Q93" i="12" s="1"/>
  <c r="T105" i="12"/>
  <c r="S106" i="12"/>
  <c r="T100" i="12"/>
  <c r="L100" i="12"/>
  <c r="M100" i="12"/>
  <c r="P97" i="12"/>
  <c r="M105" i="12"/>
  <c r="P109" i="12"/>
  <c r="K99" i="12"/>
  <c r="T107" i="12"/>
  <c r="T93" i="12"/>
  <c r="T98" i="12"/>
  <c r="L98" i="12"/>
  <c r="S99" i="12"/>
  <c r="L106" i="12"/>
  <c r="U107" i="12"/>
  <c r="M107" i="12"/>
  <c r="U93" i="12"/>
  <c r="K108" i="12"/>
  <c r="T101" i="12"/>
  <c r="K101" i="12"/>
  <c r="L101" i="12"/>
  <c r="M101" i="12"/>
  <c r="E28" i="12"/>
  <c r="T95" i="12"/>
  <c r="K95" i="12"/>
  <c r="U106" i="12"/>
  <c r="U108" i="12"/>
  <c r="U95" i="12"/>
  <c r="S103" i="12"/>
  <c r="L95" i="12"/>
  <c r="T106" i="12"/>
  <c r="S108" i="12"/>
  <c r="M93" i="12"/>
  <c r="K94" i="12"/>
  <c r="L94" i="12"/>
  <c r="S96" i="12"/>
  <c r="Q96" i="12" s="1"/>
  <c r="T103" i="12"/>
  <c r="M95" i="12"/>
  <c r="K103" i="12"/>
  <c r="K98" i="12"/>
  <c r="S100" i="12"/>
  <c r="T108" i="12"/>
  <c r="U94" i="12"/>
  <c r="T96" i="12"/>
  <c r="U103" i="12"/>
  <c r="K96" i="12"/>
  <c r="L103" i="12"/>
  <c r="S101" i="12"/>
  <c r="U101" i="12"/>
  <c r="U96" i="12"/>
  <c r="S104" i="12"/>
  <c r="L96" i="12"/>
  <c r="M103" i="12"/>
  <c r="L105" i="12"/>
  <c r="K106" i="12"/>
  <c r="L92" i="12"/>
  <c r="U100" i="12"/>
  <c r="T94" i="12"/>
  <c r="S95" i="12"/>
  <c r="Q95" i="12" s="1"/>
  <c r="T104" i="12"/>
  <c r="M96" i="12"/>
  <c r="K104" i="12"/>
  <c r="T99" i="12"/>
  <c r="K93" i="12"/>
  <c r="L93" i="12"/>
  <c r="S94" i="12"/>
  <c r="Q94" i="12" s="1"/>
  <c r="L108" i="12"/>
  <c r="M108" i="12"/>
  <c r="M94" i="12"/>
  <c r="U104" i="12"/>
  <c r="P122" i="12"/>
  <c r="B19" i="13"/>
  <c r="B20" i="13" s="1"/>
  <c r="P60" i="13" s="1"/>
  <c r="P56" i="12"/>
  <c r="P60" i="12" s="1"/>
  <c r="B24" i="12"/>
  <c r="B16" i="10"/>
  <c r="B17" i="10" s="1"/>
  <c r="B33" i="10"/>
  <c r="B33" i="9"/>
  <c r="B18" i="9"/>
  <c r="Q72" i="9" s="1"/>
  <c r="B17" i="9"/>
  <c r="Q58" i="9" s="1"/>
  <c r="Q97" i="9"/>
  <c r="J74" i="9"/>
  <c r="B21" i="9"/>
  <c r="B33" i="8"/>
  <c r="B16" i="8"/>
  <c r="R70" i="8"/>
  <c r="E40" i="8"/>
  <c r="B18" i="8"/>
  <c r="Q77" i="8" s="1"/>
  <c r="Q78" i="8" s="1"/>
  <c r="Q82" i="8" s="1"/>
  <c r="B17" i="8"/>
  <c r="B27" i="8"/>
  <c r="P74" i="7"/>
  <c r="P75" i="7" s="1"/>
  <c r="B33" i="7"/>
  <c r="B17" i="7"/>
  <c r="B21" i="7" s="1"/>
  <c r="B18" i="7"/>
  <c r="Q82" i="7" s="1"/>
  <c r="Q84" i="7" s="1"/>
  <c r="P80" i="5"/>
  <c r="B18" i="5"/>
  <c r="E39" i="5"/>
  <c r="B27" i="5"/>
  <c r="P87" i="3"/>
  <c r="B17" i="3"/>
  <c r="P88" i="3"/>
  <c r="P63" i="13" l="1"/>
  <c r="S63" i="13" s="1"/>
  <c r="S65" i="13"/>
  <c r="S64" i="13"/>
  <c r="S61" i="13"/>
  <c r="S62" i="13"/>
  <c r="B21" i="13"/>
  <c r="E23" i="13" s="1"/>
  <c r="M65" i="12"/>
  <c r="M64" i="12"/>
  <c r="P63" i="12"/>
  <c r="M63" i="12" s="1"/>
  <c r="M62" i="12"/>
  <c r="M61" i="12"/>
  <c r="B25" i="12"/>
  <c r="B26" i="12" s="1"/>
  <c r="B40" i="12" s="1"/>
  <c r="B41" i="12" s="1"/>
  <c r="B23" i="12"/>
  <c r="P111" i="12"/>
  <c r="P115" i="12"/>
  <c r="P100" i="11"/>
  <c r="P105" i="11" s="1"/>
  <c r="S62" i="11"/>
  <c r="S65" i="11"/>
  <c r="S64" i="11"/>
  <c r="P63" i="11"/>
  <c r="P56" i="11"/>
  <c r="B24" i="11"/>
  <c r="B25" i="11" s="1"/>
  <c r="E29" i="11"/>
  <c r="E30" i="11" s="1"/>
  <c r="E29" i="13"/>
  <c r="P56" i="13"/>
  <c r="L60" i="13" s="1"/>
  <c r="B24" i="13"/>
  <c r="P101" i="13"/>
  <c r="P106" i="13" s="1"/>
  <c r="K109" i="12"/>
  <c r="S109" i="12"/>
  <c r="P117" i="12"/>
  <c r="P113" i="12"/>
  <c r="U109" i="12"/>
  <c r="T109" i="12"/>
  <c r="M109" i="12"/>
  <c r="L109" i="12"/>
  <c r="T102" i="12"/>
  <c r="S102" i="12"/>
  <c r="K102" i="12"/>
  <c r="M102" i="12"/>
  <c r="L102" i="12"/>
  <c r="U102" i="12"/>
  <c r="K97" i="12"/>
  <c r="T97" i="12"/>
  <c r="S97" i="12"/>
  <c r="Q97" i="12" s="1"/>
  <c r="L97" i="12"/>
  <c r="M97" i="12"/>
  <c r="U97" i="12"/>
  <c r="E42" i="12"/>
  <c r="E43" i="12"/>
  <c r="G29" i="12"/>
  <c r="U57" i="12"/>
  <c r="P81" i="12"/>
  <c r="U62" i="12"/>
  <c r="T62" i="12"/>
  <c r="U59" i="12"/>
  <c r="T58" i="12"/>
  <c r="T57" i="12"/>
  <c r="U58" i="12"/>
  <c r="U65" i="12"/>
  <c r="T59" i="12"/>
  <c r="T65" i="12"/>
  <c r="B29" i="12"/>
  <c r="B27" i="12"/>
  <c r="B21" i="11"/>
  <c r="B18" i="10"/>
  <c r="B27" i="10" s="1"/>
  <c r="Q84" i="10"/>
  <c r="Q89" i="10" s="1"/>
  <c r="B21" i="10"/>
  <c r="E26" i="10"/>
  <c r="B27" i="9"/>
  <c r="Q82" i="9"/>
  <c r="E20" i="9"/>
  <c r="E21" i="9" s="1"/>
  <c r="B20" i="9"/>
  <c r="B22" i="9"/>
  <c r="B36" i="9" s="1"/>
  <c r="B23" i="9"/>
  <c r="B26" i="9" s="1"/>
  <c r="E24" i="9"/>
  <c r="E25" i="9" s="1"/>
  <c r="E35" i="9"/>
  <c r="M59" i="9"/>
  <c r="O59" i="9" s="1"/>
  <c r="M62" i="9"/>
  <c r="O62" i="9" s="1"/>
  <c r="Q53" i="9"/>
  <c r="M61" i="9"/>
  <c r="O61" i="9" s="1"/>
  <c r="Q60" i="9"/>
  <c r="J75" i="9"/>
  <c r="Q84" i="9"/>
  <c r="Q91" i="9"/>
  <c r="Q94" i="9" s="1"/>
  <c r="E26" i="9"/>
  <c r="G26" i="9" s="1"/>
  <c r="Q58" i="8"/>
  <c r="Q53" i="8"/>
  <c r="U64" i="8"/>
  <c r="U63" i="8"/>
  <c r="U59" i="8"/>
  <c r="U62" i="8"/>
  <c r="Q61" i="8"/>
  <c r="Q65" i="8" s="1"/>
  <c r="Q67" i="8"/>
  <c r="O63" i="8"/>
  <c r="Q90" i="8"/>
  <c r="E26" i="8"/>
  <c r="B21" i="8"/>
  <c r="E20" i="8"/>
  <c r="B20" i="7"/>
  <c r="B23" i="7"/>
  <c r="B22" i="7"/>
  <c r="B36" i="7" s="1"/>
  <c r="E20" i="7"/>
  <c r="E35" i="7" s="1"/>
  <c r="Q72" i="7"/>
  <c r="Q58" i="7"/>
  <c r="Q101" i="7"/>
  <c r="E26" i="7"/>
  <c r="B27" i="7"/>
  <c r="P87" i="5"/>
  <c r="P81" i="5"/>
  <c r="Q110" i="5"/>
  <c r="Q115" i="5" s="1"/>
  <c r="Q58" i="5"/>
  <c r="B21" i="5"/>
  <c r="E26" i="5"/>
  <c r="Q79" i="5"/>
  <c r="B21" i="3"/>
  <c r="B22" i="3" s="1"/>
  <c r="B36" i="3" s="1"/>
  <c r="B40" i="3" s="1"/>
  <c r="E26" i="3"/>
  <c r="E27" i="3" s="1"/>
  <c r="B37" i="3"/>
  <c r="B35" i="3"/>
  <c r="B20" i="3"/>
  <c r="B23" i="3"/>
  <c r="B18" i="3"/>
  <c r="Q58" i="3"/>
  <c r="Q110" i="3"/>
  <c r="Q115" i="3" s="1"/>
  <c r="M62" i="3"/>
  <c r="O62" i="3" s="1"/>
  <c r="P75" i="13" l="1"/>
  <c r="P85" i="13"/>
  <c r="B30" i="13"/>
  <c r="B38" i="12"/>
  <c r="B42" i="12"/>
  <c r="B39" i="12"/>
  <c r="P66" i="12"/>
  <c r="U111" i="12"/>
  <c r="U115" i="12"/>
  <c r="T111" i="12"/>
  <c r="T115" i="12"/>
  <c r="M115" i="12"/>
  <c r="L64" i="11"/>
  <c r="K64" i="11"/>
  <c r="P66" i="11"/>
  <c r="S63" i="11"/>
  <c r="L67" i="11"/>
  <c r="K67" i="11"/>
  <c r="E27" i="13"/>
  <c r="E28" i="13" s="1"/>
  <c r="G29" i="13" s="1"/>
  <c r="E38" i="13"/>
  <c r="E24" i="13"/>
  <c r="E30" i="13"/>
  <c r="G30" i="13" s="1"/>
  <c r="K60" i="13"/>
  <c r="L65" i="13"/>
  <c r="K65" i="13"/>
  <c r="L64" i="13"/>
  <c r="K64" i="13"/>
  <c r="L62" i="13"/>
  <c r="L61" i="13"/>
  <c r="K61" i="13"/>
  <c r="L59" i="13"/>
  <c r="K58" i="13"/>
  <c r="L57" i="13"/>
  <c r="K57" i="13"/>
  <c r="K62" i="13"/>
  <c r="K59" i="13"/>
  <c r="L58" i="13"/>
  <c r="B26" i="13"/>
  <c r="B29" i="13" s="1"/>
  <c r="B25" i="13"/>
  <c r="M111" i="12"/>
  <c r="M110" i="12"/>
  <c r="M114" i="12"/>
  <c r="M113" i="12"/>
  <c r="M112" i="12"/>
  <c r="U119" i="12"/>
  <c r="U114" i="12"/>
  <c r="U118" i="12"/>
  <c r="U120" i="12"/>
  <c r="U117" i="12"/>
  <c r="U121" i="12"/>
  <c r="U116" i="12"/>
  <c r="U110" i="12"/>
  <c r="U113" i="12"/>
  <c r="U112" i="12"/>
  <c r="U122" i="12"/>
  <c r="T120" i="12"/>
  <c r="T119" i="12"/>
  <c r="T118" i="12"/>
  <c r="T113" i="12"/>
  <c r="T117" i="12"/>
  <c r="T116" i="12"/>
  <c r="T112" i="12"/>
  <c r="T114" i="12"/>
  <c r="T121" i="12"/>
  <c r="T122" i="12"/>
  <c r="T110" i="12"/>
  <c r="T60" i="12"/>
  <c r="U60" i="12"/>
  <c r="P85" i="11"/>
  <c r="B30" i="11"/>
  <c r="B23" i="13"/>
  <c r="B43" i="12"/>
  <c r="G30" i="12"/>
  <c r="P75" i="11"/>
  <c r="E23" i="11"/>
  <c r="B23" i="11"/>
  <c r="B26" i="11"/>
  <c r="B40" i="11" s="1"/>
  <c r="E20" i="10"/>
  <c r="E21" i="10" s="1"/>
  <c r="E25" i="10" s="1"/>
  <c r="G26" i="10" s="1"/>
  <c r="Q76" i="10"/>
  <c r="L77" i="10" s="1"/>
  <c r="Q66" i="10"/>
  <c r="Q78" i="10"/>
  <c r="Q82" i="10" s="1"/>
  <c r="V77" i="10"/>
  <c r="M63" i="10"/>
  <c r="M61" i="10"/>
  <c r="O61" i="10" s="1"/>
  <c r="M62" i="10"/>
  <c r="M59" i="10"/>
  <c r="O59" i="10" s="1"/>
  <c r="B26" i="10"/>
  <c r="B23" i="10"/>
  <c r="E27" i="10"/>
  <c r="B22" i="10"/>
  <c r="B36" i="10" s="1"/>
  <c r="B20" i="10"/>
  <c r="Q53" i="10"/>
  <c r="V57" i="10" s="1"/>
  <c r="M58" i="10"/>
  <c r="O58" i="10" s="1"/>
  <c r="W57" i="10"/>
  <c r="W77" i="10"/>
  <c r="U77" i="10"/>
  <c r="S77" i="10" s="1"/>
  <c r="S79" i="10"/>
  <c r="M77" i="10"/>
  <c r="O77" i="10" s="1"/>
  <c r="K77" i="10"/>
  <c r="O79" i="10"/>
  <c r="O80" i="10"/>
  <c r="S80" i="10"/>
  <c r="M90" i="9"/>
  <c r="O90" i="9" s="1"/>
  <c r="W90" i="9"/>
  <c r="U90" i="9"/>
  <c r="S90" i="9" s="1"/>
  <c r="L90" i="9"/>
  <c r="K90" i="9"/>
  <c r="V90" i="9"/>
  <c r="E27" i="9"/>
  <c r="G27" i="9" s="1"/>
  <c r="V57" i="9"/>
  <c r="W62" i="9"/>
  <c r="W56" i="9"/>
  <c r="V62" i="9"/>
  <c r="W55" i="9"/>
  <c r="W61" i="9"/>
  <c r="W57" i="9"/>
  <c r="V56" i="9"/>
  <c r="V55" i="9"/>
  <c r="W54" i="9"/>
  <c r="V61" i="9"/>
  <c r="V54" i="9"/>
  <c r="V59" i="9"/>
  <c r="W59" i="9"/>
  <c r="V58" i="9"/>
  <c r="W58" i="9"/>
  <c r="B35" i="9"/>
  <c r="B40" i="9"/>
  <c r="B37" i="9"/>
  <c r="B38" i="9" s="1"/>
  <c r="Q63" i="9"/>
  <c r="W60" i="9"/>
  <c r="V60" i="9"/>
  <c r="M60" i="9"/>
  <c r="O60" i="9" s="1"/>
  <c r="E38" i="9"/>
  <c r="E37" i="9"/>
  <c r="V67" i="8"/>
  <c r="W67" i="8"/>
  <c r="M67" i="8"/>
  <c r="K65" i="8"/>
  <c r="M66" i="8"/>
  <c r="O66" i="8" s="1"/>
  <c r="U65" i="8"/>
  <c r="L63" i="8"/>
  <c r="K63" i="8"/>
  <c r="L65" i="8"/>
  <c r="L64" i="8"/>
  <c r="L62" i="8"/>
  <c r="K64" i="8"/>
  <c r="G26" i="8"/>
  <c r="B22" i="8"/>
  <c r="B36" i="8" s="1"/>
  <c r="B20" i="8"/>
  <c r="E27" i="8"/>
  <c r="G27" i="8" s="1"/>
  <c r="S62" i="8"/>
  <c r="U60" i="8"/>
  <c r="S60" i="8" s="1"/>
  <c r="S59" i="8"/>
  <c r="L58" i="8"/>
  <c r="K58" i="8"/>
  <c r="E37" i="7"/>
  <c r="E38" i="7"/>
  <c r="B37" i="7"/>
  <c r="B35" i="7"/>
  <c r="E27" i="7"/>
  <c r="M62" i="7"/>
  <c r="O62" i="7" s="1"/>
  <c r="Q53" i="7"/>
  <c r="V54" i="7" s="1"/>
  <c r="W58" i="7"/>
  <c r="M61" i="7"/>
  <c r="O61" i="7" s="1"/>
  <c r="M59" i="7"/>
  <c r="O59" i="7" s="1"/>
  <c r="Q60" i="7"/>
  <c r="Q93" i="7"/>
  <c r="E24" i="7"/>
  <c r="E25" i="7" s="1"/>
  <c r="E23" i="7"/>
  <c r="B40" i="7"/>
  <c r="B24" i="7"/>
  <c r="P82" i="5"/>
  <c r="P89" i="5" s="1"/>
  <c r="P88" i="5"/>
  <c r="Q104" i="5"/>
  <c r="Q107" i="5" s="1"/>
  <c r="E24" i="5"/>
  <c r="E25" i="5" s="1"/>
  <c r="E23" i="5"/>
  <c r="E21" i="5"/>
  <c r="G26" i="5"/>
  <c r="E27" i="5"/>
  <c r="G27" i="5" s="1"/>
  <c r="B23" i="5"/>
  <c r="B22" i="5"/>
  <c r="B36" i="5" s="1"/>
  <c r="O62" i="5"/>
  <c r="O63" i="5"/>
  <c r="Q53" i="5"/>
  <c r="O59" i="5"/>
  <c r="O60" i="5"/>
  <c r="Q79" i="3"/>
  <c r="E20" i="3"/>
  <c r="E35" i="3" s="1"/>
  <c r="B26" i="3"/>
  <c r="B24" i="3"/>
  <c r="B39" i="3"/>
  <c r="B38" i="3"/>
  <c r="Q89" i="3"/>
  <c r="B27" i="3"/>
  <c r="M60" i="3"/>
  <c r="O60" i="3" s="1"/>
  <c r="M59" i="3"/>
  <c r="O59" i="3" s="1"/>
  <c r="Q53" i="3"/>
  <c r="W54" i="3" s="1"/>
  <c r="M63" i="3"/>
  <c r="O63" i="3" s="1"/>
  <c r="Q61" i="3"/>
  <c r="M61" i="3" s="1"/>
  <c r="O61" i="3" s="1"/>
  <c r="M67" i="11" l="1"/>
  <c r="M68" i="11"/>
  <c r="E36" i="3"/>
  <c r="E38" i="3"/>
  <c r="E37" i="3"/>
  <c r="V56" i="3"/>
  <c r="W62" i="3"/>
  <c r="W63" i="3"/>
  <c r="G27" i="3"/>
  <c r="L90" i="13"/>
  <c r="S86" i="13"/>
  <c r="K92" i="13"/>
  <c r="K86" i="13"/>
  <c r="J86" i="13" s="1"/>
  <c r="U86" i="13"/>
  <c r="L89" i="13"/>
  <c r="T86" i="13"/>
  <c r="K90" i="13"/>
  <c r="U88" i="13"/>
  <c r="T93" i="13"/>
  <c r="S88" i="13"/>
  <c r="T90" i="13"/>
  <c r="U91" i="13"/>
  <c r="K88" i="13"/>
  <c r="L86" i="13"/>
  <c r="T88" i="13"/>
  <c r="M90" i="13"/>
  <c r="S91" i="13"/>
  <c r="S90" i="13"/>
  <c r="M91" i="13"/>
  <c r="L91" i="13"/>
  <c r="U93" i="13"/>
  <c r="U90" i="13"/>
  <c r="U89" i="13"/>
  <c r="L88" i="13"/>
  <c r="K91" i="13"/>
  <c r="L92" i="13"/>
  <c r="S89" i="13"/>
  <c r="M92" i="13"/>
  <c r="M89" i="13"/>
  <c r="S92" i="13"/>
  <c r="P87" i="13"/>
  <c r="S93" i="13"/>
  <c r="K89" i="13"/>
  <c r="M86" i="13"/>
  <c r="T92" i="13"/>
  <c r="M88" i="13"/>
  <c r="U92" i="13"/>
  <c r="T89" i="13"/>
  <c r="T91" i="13"/>
  <c r="L93" i="13"/>
  <c r="P94" i="13"/>
  <c r="P98" i="13" s="1"/>
  <c r="M93" i="13"/>
  <c r="K93" i="13"/>
  <c r="K68" i="12"/>
  <c r="M66" i="12"/>
  <c r="U67" i="11"/>
  <c r="T67" i="11"/>
  <c r="T68" i="11"/>
  <c r="S66" i="11"/>
  <c r="B38" i="11"/>
  <c r="B39" i="11"/>
  <c r="B43" i="11" s="1"/>
  <c r="B41" i="11"/>
  <c r="E38" i="11"/>
  <c r="E27" i="11"/>
  <c r="E28" i="11" s="1"/>
  <c r="G29" i="11" s="1"/>
  <c r="E24" i="11"/>
  <c r="G30" i="11"/>
  <c r="E40" i="13"/>
  <c r="E41" i="13"/>
  <c r="L63" i="13"/>
  <c r="K63" i="13"/>
  <c r="B40" i="13"/>
  <c r="U63" i="12"/>
  <c r="T63" i="12"/>
  <c r="L61" i="11"/>
  <c r="L58" i="11"/>
  <c r="L60" i="11"/>
  <c r="K58" i="11"/>
  <c r="K60" i="11"/>
  <c r="K63" i="11"/>
  <c r="L63" i="11"/>
  <c r="L62" i="11"/>
  <c r="K62" i="11"/>
  <c r="L65" i="11"/>
  <c r="K61" i="11"/>
  <c r="L57" i="11"/>
  <c r="K57" i="11"/>
  <c r="K65" i="11"/>
  <c r="L92" i="11"/>
  <c r="L88" i="11"/>
  <c r="K91" i="11"/>
  <c r="L86" i="11"/>
  <c r="M89" i="11"/>
  <c r="L91" i="11"/>
  <c r="L89" i="11"/>
  <c r="K89" i="11"/>
  <c r="K88" i="11"/>
  <c r="M93" i="11"/>
  <c r="K86" i="11"/>
  <c r="M91" i="11"/>
  <c r="M88" i="11"/>
  <c r="M86" i="11"/>
  <c r="K93" i="11"/>
  <c r="K92" i="11"/>
  <c r="M92" i="11"/>
  <c r="L93" i="11"/>
  <c r="K90" i="11"/>
  <c r="L90" i="11"/>
  <c r="M90" i="11"/>
  <c r="P94" i="11"/>
  <c r="P87" i="11"/>
  <c r="U75" i="11"/>
  <c r="T75" i="11"/>
  <c r="T70" i="11"/>
  <c r="T72" i="11"/>
  <c r="U70" i="11"/>
  <c r="U69" i="11"/>
  <c r="T69" i="11"/>
  <c r="U68" i="11"/>
  <c r="U74" i="11"/>
  <c r="T74" i="11"/>
  <c r="T71" i="11"/>
  <c r="U72" i="11"/>
  <c r="U71" i="11"/>
  <c r="L66" i="11"/>
  <c r="L68" i="11" s="1"/>
  <c r="M74" i="11"/>
  <c r="M72" i="11"/>
  <c r="M71" i="11"/>
  <c r="M70" i="11"/>
  <c r="M69" i="11"/>
  <c r="P73" i="11"/>
  <c r="M75" i="11"/>
  <c r="K66" i="11"/>
  <c r="P66" i="13"/>
  <c r="B27" i="11"/>
  <c r="E35" i="10"/>
  <c r="G27" i="10"/>
  <c r="O81" i="10"/>
  <c r="S81" i="10"/>
  <c r="Q64" i="10"/>
  <c r="W63" i="10"/>
  <c r="V63" i="10"/>
  <c r="W62" i="10"/>
  <c r="V62" i="10"/>
  <c r="V59" i="10"/>
  <c r="W59" i="10"/>
  <c r="B40" i="10"/>
  <c r="B35" i="10"/>
  <c r="U78" i="10"/>
  <c r="S78" i="10" s="1"/>
  <c r="M78" i="10"/>
  <c r="O78" i="10" s="1"/>
  <c r="L78" i="10"/>
  <c r="K78" i="10"/>
  <c r="W78" i="10"/>
  <c r="V78" i="10"/>
  <c r="E38" i="10"/>
  <c r="W60" i="10"/>
  <c r="V60" i="10"/>
  <c r="M60" i="10"/>
  <c r="O60" i="10" s="1"/>
  <c r="V55" i="10"/>
  <c r="W61" i="10"/>
  <c r="W54" i="10"/>
  <c r="V61" i="10"/>
  <c r="V54" i="10"/>
  <c r="W58" i="10"/>
  <c r="V58" i="10"/>
  <c r="W56" i="10"/>
  <c r="V56" i="10"/>
  <c r="W55" i="10"/>
  <c r="B37" i="10"/>
  <c r="K64" i="9"/>
  <c r="U66" i="9"/>
  <c r="S66" i="9" s="1"/>
  <c r="W63" i="9"/>
  <c r="L66" i="9"/>
  <c r="U68" i="9"/>
  <c r="S68" i="9" s="1"/>
  <c r="V63" i="9"/>
  <c r="V64" i="9" s="1"/>
  <c r="U71" i="9"/>
  <c r="S71" i="9" s="1"/>
  <c r="L69" i="9"/>
  <c r="K69" i="9"/>
  <c r="M63" i="9"/>
  <c r="K66" i="9"/>
  <c r="L71" i="9"/>
  <c r="K71" i="9"/>
  <c r="U65" i="9"/>
  <c r="S65" i="9" s="1"/>
  <c r="U69" i="9"/>
  <c r="S69" i="9" s="1"/>
  <c r="L68" i="9"/>
  <c r="L67" i="9"/>
  <c r="L64" i="9"/>
  <c r="K68" i="9"/>
  <c r="L65" i="9"/>
  <c r="U67" i="9"/>
  <c r="S67" i="9" s="1"/>
  <c r="Q70" i="9"/>
  <c r="K65" i="9"/>
  <c r="U64" i="9"/>
  <c r="S64" i="9" s="1"/>
  <c r="K67" i="9"/>
  <c r="L72" i="9"/>
  <c r="K72" i="9"/>
  <c r="U72" i="9"/>
  <c r="E40" i="9"/>
  <c r="E39" i="9"/>
  <c r="U67" i="8"/>
  <c r="K66" i="8"/>
  <c r="K67" i="8"/>
  <c r="L67" i="8"/>
  <c r="L66" i="8"/>
  <c r="O64" i="8"/>
  <c r="O65" i="8"/>
  <c r="K60" i="8"/>
  <c r="L59" i="8"/>
  <c r="K59" i="8"/>
  <c r="L56" i="8"/>
  <c r="K62" i="8"/>
  <c r="K56" i="8"/>
  <c r="L54" i="8"/>
  <c r="K55" i="8"/>
  <c r="K54" i="8"/>
  <c r="L55" i="8"/>
  <c r="L60" i="8"/>
  <c r="L57" i="8"/>
  <c r="K57" i="8"/>
  <c r="L61" i="8"/>
  <c r="K61" i="8"/>
  <c r="U61" i="8"/>
  <c r="S61" i="8" s="1"/>
  <c r="B37" i="8"/>
  <c r="B40" i="8"/>
  <c r="B35" i="8"/>
  <c r="E39" i="7"/>
  <c r="E40" i="7"/>
  <c r="M60" i="7"/>
  <c r="O60" i="7" s="1"/>
  <c r="Q63" i="7"/>
  <c r="Q70" i="7" s="1"/>
  <c r="V60" i="7"/>
  <c r="W60" i="7"/>
  <c r="W62" i="7"/>
  <c r="W57" i="7"/>
  <c r="V57" i="7"/>
  <c r="W61" i="7"/>
  <c r="W56" i="7"/>
  <c r="V62" i="7"/>
  <c r="W59" i="7"/>
  <c r="V59" i="7"/>
  <c r="W54" i="7"/>
  <c r="V55" i="7"/>
  <c r="V61" i="7"/>
  <c r="V56" i="7"/>
  <c r="W55" i="7"/>
  <c r="V58" i="7"/>
  <c r="B38" i="7"/>
  <c r="Q64" i="5"/>
  <c r="O61" i="5"/>
  <c r="B40" i="5"/>
  <c r="B35" i="5"/>
  <c r="B24" i="5"/>
  <c r="B26" i="5"/>
  <c r="E21" i="3"/>
  <c r="E24" i="3"/>
  <c r="E25" i="3" s="1"/>
  <c r="G26" i="3" s="1"/>
  <c r="E23" i="3"/>
  <c r="Q104" i="3"/>
  <c r="Q107" i="3" s="1"/>
  <c r="Q92" i="3"/>
  <c r="V58" i="3"/>
  <c r="W55" i="3"/>
  <c r="W59" i="3"/>
  <c r="V54" i="3"/>
  <c r="V57" i="3"/>
  <c r="V60" i="3"/>
  <c r="V55" i="3"/>
  <c r="W57" i="3"/>
  <c r="W56" i="3"/>
  <c r="V59" i="3"/>
  <c r="W61" i="3"/>
  <c r="V63" i="3"/>
  <c r="W60" i="3"/>
  <c r="Q64" i="3"/>
  <c r="Q70" i="3" s="1"/>
  <c r="V61" i="3"/>
  <c r="V62" i="3"/>
  <c r="W58" i="3"/>
  <c r="E39" i="3" l="1"/>
  <c r="E40" i="3"/>
  <c r="S66" i="13"/>
  <c r="S67" i="13" s="1"/>
  <c r="M67" i="13"/>
  <c r="S94" i="13"/>
  <c r="P96" i="13"/>
  <c r="U94" i="13"/>
  <c r="M94" i="13"/>
  <c r="K94" i="13"/>
  <c r="T94" i="13"/>
  <c r="L94" i="13"/>
  <c r="K87" i="13"/>
  <c r="J87" i="13" s="1"/>
  <c r="T87" i="13"/>
  <c r="M87" i="13"/>
  <c r="L87" i="13"/>
  <c r="S87" i="13"/>
  <c r="U87" i="13"/>
  <c r="S67" i="11"/>
  <c r="S68" i="11"/>
  <c r="E41" i="11"/>
  <c r="E40" i="11"/>
  <c r="S98" i="13"/>
  <c r="E43" i="13"/>
  <c r="E42" i="13"/>
  <c r="T71" i="13"/>
  <c r="U70" i="13"/>
  <c r="T70" i="13"/>
  <c r="T69" i="13"/>
  <c r="U67" i="13"/>
  <c r="T67" i="13"/>
  <c r="U71" i="13"/>
  <c r="U72" i="13"/>
  <c r="T72" i="13"/>
  <c r="U69" i="13"/>
  <c r="U74" i="13"/>
  <c r="U68" i="13"/>
  <c r="T68" i="13"/>
  <c r="T74" i="13"/>
  <c r="T75" i="13"/>
  <c r="T82" i="13" s="1"/>
  <c r="U75" i="13"/>
  <c r="U82" i="13" s="1"/>
  <c r="L98" i="13"/>
  <c r="M74" i="13"/>
  <c r="M72" i="13"/>
  <c r="M71" i="13"/>
  <c r="M69" i="13"/>
  <c r="M68" i="13"/>
  <c r="M70" i="13"/>
  <c r="M75" i="13"/>
  <c r="P73" i="13"/>
  <c r="K66" i="13"/>
  <c r="L66" i="13"/>
  <c r="B39" i="13"/>
  <c r="B43" i="13" s="1"/>
  <c r="B41" i="13"/>
  <c r="B38" i="13"/>
  <c r="T61" i="12"/>
  <c r="L75" i="12"/>
  <c r="L79" i="12"/>
  <c r="L70" i="12"/>
  <c r="L77" i="12"/>
  <c r="K77" i="12"/>
  <c r="K80" i="12"/>
  <c r="J80" i="12" s="1"/>
  <c r="K72" i="12"/>
  <c r="L76" i="12"/>
  <c r="K76" i="12"/>
  <c r="L68" i="12"/>
  <c r="K75" i="12"/>
  <c r="L72" i="12"/>
  <c r="L71" i="12"/>
  <c r="K79" i="12"/>
  <c r="J79" i="12" s="1"/>
  <c r="L80" i="12"/>
  <c r="K71" i="12"/>
  <c r="L69" i="12"/>
  <c r="K69" i="12"/>
  <c r="L81" i="12"/>
  <c r="K81" i="12"/>
  <c r="T66" i="12"/>
  <c r="S68" i="12"/>
  <c r="S72" i="12"/>
  <c r="S70" i="12"/>
  <c r="S71" i="12"/>
  <c r="S77" i="12"/>
  <c r="S76" i="12"/>
  <c r="P78" i="12"/>
  <c r="U66" i="12"/>
  <c r="P73" i="12"/>
  <c r="S80" i="12"/>
  <c r="Q80" i="12" s="1"/>
  <c r="S79" i="12"/>
  <c r="Q79" i="12" s="1"/>
  <c r="S75" i="12"/>
  <c r="S69" i="12"/>
  <c r="S81" i="12"/>
  <c r="Q81" i="12" s="1"/>
  <c r="K94" i="11"/>
  <c r="M94" i="11"/>
  <c r="L94" i="11"/>
  <c r="L87" i="11"/>
  <c r="M87" i="11"/>
  <c r="K87" i="11"/>
  <c r="M73" i="11"/>
  <c r="T73" i="11"/>
  <c r="U73" i="11"/>
  <c r="S70" i="11"/>
  <c r="S74" i="11"/>
  <c r="S71" i="11"/>
  <c r="S69" i="11"/>
  <c r="S75" i="11"/>
  <c r="S72" i="11"/>
  <c r="S73" i="11"/>
  <c r="K75" i="11"/>
  <c r="K73" i="11"/>
  <c r="K71" i="11"/>
  <c r="K74" i="11"/>
  <c r="K72" i="11"/>
  <c r="K70" i="11"/>
  <c r="K69" i="11"/>
  <c r="K68" i="11"/>
  <c r="L74" i="11"/>
  <c r="L73" i="11"/>
  <c r="L69" i="11"/>
  <c r="L75" i="11"/>
  <c r="L72" i="11"/>
  <c r="L71" i="11"/>
  <c r="L70" i="11"/>
  <c r="W89" i="10"/>
  <c r="W88" i="10"/>
  <c r="W83" i="10"/>
  <c r="W87" i="10"/>
  <c r="W86" i="10"/>
  <c r="W84" i="10"/>
  <c r="W80" i="10"/>
  <c r="W81" i="10"/>
  <c r="W82" i="10"/>
  <c r="W79" i="10"/>
  <c r="V83" i="10"/>
  <c r="V89" i="10"/>
  <c r="V87" i="10"/>
  <c r="V84" i="10"/>
  <c r="V81" i="10"/>
  <c r="V79" i="10"/>
  <c r="V88" i="10"/>
  <c r="V86" i="10"/>
  <c r="V82" i="10"/>
  <c r="V80" i="10"/>
  <c r="K65" i="10"/>
  <c r="L65" i="10"/>
  <c r="U65" i="10"/>
  <c r="S65" i="10" s="1"/>
  <c r="M64" i="10"/>
  <c r="L66" i="10"/>
  <c r="U66" i="10"/>
  <c r="K66" i="10"/>
  <c r="W64" i="10"/>
  <c r="W65" i="10" s="1"/>
  <c r="V64" i="10"/>
  <c r="V65" i="10" s="1"/>
  <c r="S64" i="10"/>
  <c r="S63" i="10"/>
  <c r="S66" i="10"/>
  <c r="L67" i="10"/>
  <c r="L68" i="10" s="1"/>
  <c r="L69" i="10" s="1"/>
  <c r="E40" i="10"/>
  <c r="E39" i="10"/>
  <c r="O84" i="10"/>
  <c r="O82" i="10"/>
  <c r="O83" i="10"/>
  <c r="M68" i="9"/>
  <c r="O68" i="9" s="1"/>
  <c r="M69" i="9"/>
  <c r="O69" i="9" s="1"/>
  <c r="M66" i="9"/>
  <c r="O66" i="9" s="1"/>
  <c r="O63" i="9"/>
  <c r="M71" i="9"/>
  <c r="O71" i="9" s="1"/>
  <c r="M67" i="9"/>
  <c r="O67" i="9" s="1"/>
  <c r="M65" i="9"/>
  <c r="O65" i="9" s="1"/>
  <c r="M64" i="9"/>
  <c r="O64" i="9" s="1"/>
  <c r="M70" i="9"/>
  <c r="O70" i="9" s="1"/>
  <c r="M72" i="9"/>
  <c r="S72" i="9"/>
  <c r="U70" i="9"/>
  <c r="S70" i="9" s="1"/>
  <c r="L70" i="9"/>
  <c r="K70" i="9"/>
  <c r="V66" i="9"/>
  <c r="V68" i="9"/>
  <c r="V65" i="9"/>
  <c r="V71" i="9"/>
  <c r="V70" i="9"/>
  <c r="V69" i="9"/>
  <c r="V67" i="9"/>
  <c r="V72" i="9"/>
  <c r="K73" i="9"/>
  <c r="L73" i="9"/>
  <c r="W71" i="9"/>
  <c r="X71" i="9" s="1"/>
  <c r="W68" i="9"/>
  <c r="W65" i="9"/>
  <c r="W70" i="9"/>
  <c r="W64" i="9"/>
  <c r="W69" i="9"/>
  <c r="W72" i="9"/>
  <c r="W66" i="9"/>
  <c r="W67" i="9"/>
  <c r="B39" i="8"/>
  <c r="B38" i="8"/>
  <c r="K66" i="7"/>
  <c r="K67" i="7"/>
  <c r="U65" i="7"/>
  <c r="S65" i="7" s="1"/>
  <c r="U69" i="7"/>
  <c r="S69" i="7" s="1"/>
  <c r="L67" i="7"/>
  <c r="K68" i="7"/>
  <c r="K65" i="7"/>
  <c r="U64" i="7"/>
  <c r="S64" i="7" s="1"/>
  <c r="U67" i="7"/>
  <c r="S67" i="7" s="1"/>
  <c r="K64" i="7"/>
  <c r="K69" i="7"/>
  <c r="U71" i="7"/>
  <c r="S71" i="7" s="1"/>
  <c r="L71" i="7"/>
  <c r="L64" i="7"/>
  <c r="W63" i="7"/>
  <c r="U68" i="7"/>
  <c r="S68" i="7" s="1"/>
  <c r="L69" i="7"/>
  <c r="M63" i="7"/>
  <c r="M64" i="7" s="1"/>
  <c r="L68" i="7"/>
  <c r="U66" i="7"/>
  <c r="S66" i="7" s="1"/>
  <c r="K71" i="7"/>
  <c r="L66" i="7"/>
  <c r="L65" i="7"/>
  <c r="K72" i="7"/>
  <c r="U72" i="7"/>
  <c r="L72" i="7"/>
  <c r="S66" i="5"/>
  <c r="S74" i="5"/>
  <c r="S69" i="5"/>
  <c r="S78" i="5"/>
  <c r="Q76" i="5"/>
  <c r="S71" i="5"/>
  <c r="S68" i="5"/>
  <c r="S72" i="5"/>
  <c r="S75" i="5"/>
  <c r="S67" i="5"/>
  <c r="S73" i="5"/>
  <c r="Q70" i="5"/>
  <c r="S77" i="5"/>
  <c r="S65" i="5"/>
  <c r="Q76" i="3"/>
  <c r="L66" i="3"/>
  <c r="K68" i="3"/>
  <c r="K67" i="3"/>
  <c r="K66" i="3"/>
  <c r="L68" i="3"/>
  <c r="L67" i="3"/>
  <c r="L65" i="3"/>
  <c r="K72" i="3"/>
  <c r="K71" i="3"/>
  <c r="L77" i="3"/>
  <c r="L75" i="3"/>
  <c r="L74" i="3"/>
  <c r="L73" i="3"/>
  <c r="K65" i="3"/>
  <c r="L71" i="3"/>
  <c r="K78" i="3"/>
  <c r="J78" i="3" s="1"/>
  <c r="K77" i="3"/>
  <c r="J77" i="3" s="1"/>
  <c r="K75" i="3"/>
  <c r="K74" i="3"/>
  <c r="K73" i="3"/>
  <c r="L78" i="3"/>
  <c r="K69" i="3"/>
  <c r="L72" i="3"/>
  <c r="L69" i="3"/>
  <c r="K79" i="3"/>
  <c r="K86" i="3" s="1"/>
  <c r="U78" i="3"/>
  <c r="S78" i="3" s="1"/>
  <c r="R78" i="3" s="1"/>
  <c r="U75" i="3"/>
  <c r="S75" i="3" s="1"/>
  <c r="U77" i="3"/>
  <c r="S77" i="3" s="1"/>
  <c r="R77" i="3" s="1"/>
  <c r="U74" i="3"/>
  <c r="S74" i="3" s="1"/>
  <c r="U73" i="3"/>
  <c r="S73" i="3" s="1"/>
  <c r="U72" i="3"/>
  <c r="S72" i="3" s="1"/>
  <c r="U71" i="3"/>
  <c r="S71" i="3" s="1"/>
  <c r="U69" i="3"/>
  <c r="S69" i="3" s="1"/>
  <c r="U68" i="3"/>
  <c r="S68" i="3" s="1"/>
  <c r="U67" i="3"/>
  <c r="S67" i="3" s="1"/>
  <c r="U66" i="3"/>
  <c r="S66" i="3" s="1"/>
  <c r="U65" i="3"/>
  <c r="S65" i="3" s="1"/>
  <c r="W64" i="3"/>
  <c r="L79" i="3"/>
  <c r="U79" i="3"/>
  <c r="U86" i="3" s="1"/>
  <c r="M64" i="3"/>
  <c r="V64" i="3"/>
  <c r="L96" i="13" l="1"/>
  <c r="L100" i="13"/>
  <c r="L97" i="13"/>
  <c r="L95" i="13"/>
  <c r="L102" i="13"/>
  <c r="L105" i="13"/>
  <c r="L99" i="13"/>
  <c r="L103" i="13"/>
  <c r="L104" i="13"/>
  <c r="L101" i="13"/>
  <c r="L106" i="13"/>
  <c r="K101" i="13"/>
  <c r="K99" i="13"/>
  <c r="K102" i="13"/>
  <c r="K95" i="13"/>
  <c r="K96" i="13"/>
  <c r="K100" i="13"/>
  <c r="K103" i="13"/>
  <c r="K97" i="13"/>
  <c r="K105" i="13"/>
  <c r="K106" i="13"/>
  <c r="K104" i="13"/>
  <c r="S96" i="13"/>
  <c r="S95" i="13"/>
  <c r="K98" i="13"/>
  <c r="M69" i="12"/>
  <c r="U61" i="12"/>
  <c r="K97" i="11"/>
  <c r="L97" i="11"/>
  <c r="E43" i="11"/>
  <c r="E42" i="11"/>
  <c r="M73" i="13"/>
  <c r="U73" i="13"/>
  <c r="T73" i="13"/>
  <c r="S68" i="13"/>
  <c r="S75" i="13"/>
  <c r="S72" i="13"/>
  <c r="S71" i="13"/>
  <c r="S70" i="13"/>
  <c r="S74" i="13"/>
  <c r="S73" i="13"/>
  <c r="S69" i="13"/>
  <c r="L68" i="13"/>
  <c r="L67" i="13"/>
  <c r="L74" i="13"/>
  <c r="L73" i="13"/>
  <c r="L72" i="13"/>
  <c r="L71" i="13"/>
  <c r="L70" i="13"/>
  <c r="L75" i="13"/>
  <c r="L69" i="13"/>
  <c r="K75" i="13"/>
  <c r="J75" i="13" s="1"/>
  <c r="K74" i="13"/>
  <c r="J74" i="13" s="1"/>
  <c r="K73" i="13"/>
  <c r="K72" i="13"/>
  <c r="K71" i="13"/>
  <c r="K70" i="13"/>
  <c r="K68" i="13"/>
  <c r="K67" i="13"/>
  <c r="K69" i="13"/>
  <c r="S73" i="12"/>
  <c r="L73" i="12"/>
  <c r="K73" i="12"/>
  <c r="U64" i="12"/>
  <c r="T64" i="12"/>
  <c r="S78" i="12"/>
  <c r="K78" i="12"/>
  <c r="L78" i="12"/>
  <c r="M79" i="12"/>
  <c r="M72" i="12"/>
  <c r="U72" i="12"/>
  <c r="T72" i="12"/>
  <c r="U81" i="12"/>
  <c r="U73" i="12"/>
  <c r="U79" i="12"/>
  <c r="V79" i="12" s="1"/>
  <c r="U70" i="12"/>
  <c r="U78" i="12"/>
  <c r="V78" i="12" s="1"/>
  <c r="U69" i="12"/>
  <c r="U76" i="12"/>
  <c r="V76" i="12" s="1"/>
  <c r="U80" i="12"/>
  <c r="V80" i="12" s="1"/>
  <c r="U71" i="12"/>
  <c r="U68" i="12"/>
  <c r="U75" i="12"/>
  <c r="U77" i="12"/>
  <c r="V77" i="12" s="1"/>
  <c r="T79" i="12"/>
  <c r="T68" i="12"/>
  <c r="T81" i="12"/>
  <c r="T71" i="12"/>
  <c r="T70" i="12"/>
  <c r="T76" i="12"/>
  <c r="T75" i="12"/>
  <c r="T73" i="12"/>
  <c r="T80" i="12"/>
  <c r="T78" i="12"/>
  <c r="T69" i="12"/>
  <c r="T77" i="12"/>
  <c r="L95" i="11"/>
  <c r="L105" i="11"/>
  <c r="L102" i="11"/>
  <c r="L103" i="11"/>
  <c r="L104" i="11"/>
  <c r="L101" i="11"/>
  <c r="L99" i="11"/>
  <c r="L100" i="11"/>
  <c r="L98" i="11"/>
  <c r="L96" i="11"/>
  <c r="K96" i="11"/>
  <c r="K105" i="11"/>
  <c r="K101" i="11"/>
  <c r="K95" i="11"/>
  <c r="K104" i="11"/>
  <c r="K103" i="11"/>
  <c r="K102" i="11"/>
  <c r="K100" i="11"/>
  <c r="K99" i="11"/>
  <c r="K98" i="11"/>
  <c r="J81" i="12"/>
  <c r="U82" i="11"/>
  <c r="J75" i="11"/>
  <c r="J74" i="11"/>
  <c r="T82" i="11"/>
  <c r="W66" i="10"/>
  <c r="V66" i="10"/>
  <c r="M66" i="10"/>
  <c r="M65" i="10"/>
  <c r="O63" i="10"/>
  <c r="O62" i="10"/>
  <c r="O64" i="10"/>
  <c r="O65" i="10"/>
  <c r="X72" i="9"/>
  <c r="M73" i="9"/>
  <c r="O72" i="9"/>
  <c r="L74" i="9"/>
  <c r="K74" i="9"/>
  <c r="S64" i="8"/>
  <c r="S63" i="8"/>
  <c r="S66" i="8"/>
  <c r="S65" i="8"/>
  <c r="V68" i="8"/>
  <c r="W68" i="8"/>
  <c r="W74" i="8"/>
  <c r="O67" i="8"/>
  <c r="M68" i="8"/>
  <c r="V69" i="7"/>
  <c r="V65" i="7"/>
  <c r="V70" i="7"/>
  <c r="V67" i="7"/>
  <c r="V66" i="7"/>
  <c r="V72" i="7"/>
  <c r="V71" i="7"/>
  <c r="V68" i="7"/>
  <c r="U73" i="7"/>
  <c r="S72" i="7"/>
  <c r="U70" i="7"/>
  <c r="S70" i="7" s="1"/>
  <c r="K70" i="7"/>
  <c r="L70" i="7"/>
  <c r="W70" i="7"/>
  <c r="W65" i="7"/>
  <c r="W64" i="7"/>
  <c r="W67" i="7"/>
  <c r="W68" i="7"/>
  <c r="W71" i="7"/>
  <c r="X71" i="7" s="1"/>
  <c r="W69" i="7"/>
  <c r="W66" i="7"/>
  <c r="W72" i="7"/>
  <c r="X72" i="7" s="1"/>
  <c r="L73" i="7"/>
  <c r="K73" i="7"/>
  <c r="M67" i="7"/>
  <c r="O67" i="7" s="1"/>
  <c r="M69" i="7"/>
  <c r="O69" i="7" s="1"/>
  <c r="O64" i="7"/>
  <c r="M71" i="7"/>
  <c r="O71" i="7" s="1"/>
  <c r="M72" i="7"/>
  <c r="O63" i="7"/>
  <c r="M68" i="7"/>
  <c r="O68" i="7" s="1"/>
  <c r="M66" i="7"/>
  <c r="O66" i="7" s="1"/>
  <c r="M70" i="7"/>
  <c r="O70" i="7" s="1"/>
  <c r="M65" i="7"/>
  <c r="O65" i="7" s="1"/>
  <c r="U80" i="5"/>
  <c r="S79" i="5"/>
  <c r="U86" i="5"/>
  <c r="S70" i="5"/>
  <c r="S76" i="5"/>
  <c r="L86" i="5"/>
  <c r="L80" i="5"/>
  <c r="O64" i="5"/>
  <c r="K80" i="5"/>
  <c r="K86" i="5"/>
  <c r="L80" i="3"/>
  <c r="L86" i="3"/>
  <c r="W76" i="3"/>
  <c r="X76" i="3" s="1"/>
  <c r="V76" i="3"/>
  <c r="S79" i="3"/>
  <c r="S86" i="3" s="1"/>
  <c r="U80" i="3"/>
  <c r="J79" i="3"/>
  <c r="K80" i="3"/>
  <c r="M74" i="3"/>
  <c r="O74" i="3" s="1"/>
  <c r="M71" i="3"/>
  <c r="O71" i="3" s="1"/>
  <c r="M69" i="3"/>
  <c r="O69" i="3" s="1"/>
  <c r="M68" i="3"/>
  <c r="O68" i="3" s="1"/>
  <c r="M67" i="3"/>
  <c r="O67" i="3" s="1"/>
  <c r="M66" i="3"/>
  <c r="O66" i="3" s="1"/>
  <c r="M78" i="3"/>
  <c r="O78" i="3" s="1"/>
  <c r="M73" i="3"/>
  <c r="O73" i="3" s="1"/>
  <c r="M70" i="3"/>
  <c r="O70" i="3" s="1"/>
  <c r="M75" i="3"/>
  <c r="O75" i="3" s="1"/>
  <c r="M72" i="3"/>
  <c r="O72" i="3" s="1"/>
  <c r="M65" i="3"/>
  <c r="O65" i="3" s="1"/>
  <c r="M77" i="3"/>
  <c r="O77" i="3" s="1"/>
  <c r="M76" i="3"/>
  <c r="O76" i="3" s="1"/>
  <c r="U70" i="3"/>
  <c r="S70" i="3" s="1"/>
  <c r="K70" i="3"/>
  <c r="L70" i="3"/>
  <c r="U76" i="3"/>
  <c r="S76" i="3" s="1"/>
  <c r="L76" i="3"/>
  <c r="K76" i="3"/>
  <c r="V79" i="3"/>
  <c r="V68" i="3"/>
  <c r="V66" i="3"/>
  <c r="V65" i="3"/>
  <c r="V77" i="3"/>
  <c r="V75" i="3"/>
  <c r="V74" i="3"/>
  <c r="V73" i="3"/>
  <c r="V72" i="3"/>
  <c r="V71" i="3"/>
  <c r="V69" i="3"/>
  <c r="V67" i="3"/>
  <c r="V78" i="3"/>
  <c r="V70" i="3"/>
  <c r="W79" i="3"/>
  <c r="W86" i="3" s="1"/>
  <c r="W78" i="3"/>
  <c r="X78" i="3" s="1"/>
  <c r="W75" i="3"/>
  <c r="X75" i="3" s="1"/>
  <c r="W71" i="3"/>
  <c r="X71" i="3" s="1"/>
  <c r="W70" i="3"/>
  <c r="W69" i="3"/>
  <c r="W68" i="3"/>
  <c r="W67" i="3"/>
  <c r="W65" i="3"/>
  <c r="W77" i="3"/>
  <c r="X77" i="3" s="1"/>
  <c r="W74" i="3"/>
  <c r="X74" i="3" s="1"/>
  <c r="W73" i="3"/>
  <c r="X73" i="3" s="1"/>
  <c r="W72" i="3"/>
  <c r="X72" i="3" s="1"/>
  <c r="W66" i="3"/>
  <c r="O64" i="3"/>
  <c r="M79" i="3"/>
  <c r="M86" i="3" s="1"/>
  <c r="M75" i="12" l="1"/>
  <c r="M68" i="12"/>
  <c r="M73" i="12"/>
  <c r="M71" i="12"/>
  <c r="M76" i="12"/>
  <c r="M80" i="12"/>
  <c r="M77" i="12"/>
  <c r="M78" i="12"/>
  <c r="M70" i="12"/>
  <c r="M81" i="12"/>
  <c r="S82" i="13"/>
  <c r="V81" i="12"/>
  <c r="S82" i="11"/>
  <c r="U83" i="11"/>
  <c r="T83" i="11"/>
  <c r="O66" i="10"/>
  <c r="K75" i="9"/>
  <c r="L75" i="9"/>
  <c r="O73" i="9"/>
  <c r="M74" i="9"/>
  <c r="U68" i="8"/>
  <c r="S67" i="8"/>
  <c r="O68" i="8"/>
  <c r="K68" i="8"/>
  <c r="W69" i="8"/>
  <c r="V69" i="8"/>
  <c r="M69" i="8"/>
  <c r="L68" i="8"/>
  <c r="V73" i="7"/>
  <c r="K74" i="7"/>
  <c r="W73" i="7"/>
  <c r="J73" i="7"/>
  <c r="L74" i="7"/>
  <c r="S73" i="7"/>
  <c r="O72" i="7"/>
  <c r="M73" i="7"/>
  <c r="U74" i="7"/>
  <c r="J80" i="5"/>
  <c r="J86" i="5"/>
  <c r="K87" i="5"/>
  <c r="K81" i="5"/>
  <c r="V80" i="5"/>
  <c r="V86" i="5"/>
  <c r="L87" i="5"/>
  <c r="L81" i="5"/>
  <c r="W80" i="5"/>
  <c r="X86" i="5"/>
  <c r="W86" i="5"/>
  <c r="M80" i="5"/>
  <c r="M86" i="5"/>
  <c r="S80" i="5"/>
  <c r="S86" i="5"/>
  <c r="U81" i="5"/>
  <c r="U87" i="5"/>
  <c r="V80" i="3"/>
  <c r="V86" i="3"/>
  <c r="U81" i="3"/>
  <c r="U87" i="3"/>
  <c r="K81" i="3"/>
  <c r="K87" i="3"/>
  <c r="J80" i="3"/>
  <c r="J86" i="3"/>
  <c r="L81" i="3"/>
  <c r="L87" i="3"/>
  <c r="X79" i="3"/>
  <c r="X86" i="3" s="1"/>
  <c r="W80" i="3"/>
  <c r="W87" i="3" s="1"/>
  <c r="O79" i="3"/>
  <c r="M80" i="3"/>
  <c r="R79" i="3"/>
  <c r="S80" i="3"/>
  <c r="J77" i="11" l="1"/>
  <c r="T85" i="11"/>
  <c r="T84" i="11"/>
  <c r="U84" i="11"/>
  <c r="S83" i="11"/>
  <c r="O69" i="10"/>
  <c r="O68" i="10"/>
  <c r="M75" i="9"/>
  <c r="O74" i="9"/>
  <c r="L88" i="9"/>
  <c r="L89" i="9"/>
  <c r="L84" i="9"/>
  <c r="L86" i="9"/>
  <c r="L87" i="9"/>
  <c r="L83" i="9"/>
  <c r="L85" i="9"/>
  <c r="L91" i="9"/>
  <c r="U86" i="9"/>
  <c r="S86" i="9" s="1"/>
  <c r="U88" i="9"/>
  <c r="S88" i="9" s="1"/>
  <c r="U83" i="9"/>
  <c r="S83" i="9" s="1"/>
  <c r="U85" i="9"/>
  <c r="S85" i="9" s="1"/>
  <c r="U91" i="9"/>
  <c r="S91" i="9" s="1"/>
  <c r="U84" i="9"/>
  <c r="S84" i="9" s="1"/>
  <c r="U89" i="9"/>
  <c r="S89" i="9" s="1"/>
  <c r="U87" i="9"/>
  <c r="S87" i="9" s="1"/>
  <c r="K89" i="9"/>
  <c r="K84" i="9"/>
  <c r="K86" i="9"/>
  <c r="K88" i="9"/>
  <c r="K91" i="9"/>
  <c r="K85" i="9"/>
  <c r="K83" i="9"/>
  <c r="K87" i="9"/>
  <c r="L69" i="8"/>
  <c r="M70" i="8"/>
  <c r="V70" i="8"/>
  <c r="W70" i="8"/>
  <c r="U69" i="8"/>
  <c r="K69" i="8"/>
  <c r="O69" i="8"/>
  <c r="S68" i="8"/>
  <c r="U75" i="7"/>
  <c r="M74" i="7"/>
  <c r="O73" i="7"/>
  <c r="R73" i="7"/>
  <c r="S74" i="7"/>
  <c r="L75" i="7"/>
  <c r="J74" i="7"/>
  <c r="X73" i="7"/>
  <c r="W74" i="7"/>
  <c r="K75" i="7"/>
  <c r="V74" i="7"/>
  <c r="U82" i="5"/>
  <c r="U89" i="5" s="1"/>
  <c r="U88" i="5"/>
  <c r="R80" i="5"/>
  <c r="R86" i="5"/>
  <c r="S87" i="5"/>
  <c r="S81" i="5"/>
  <c r="O80" i="5"/>
  <c r="O86" i="5"/>
  <c r="M87" i="5"/>
  <c r="M81" i="5"/>
  <c r="W81" i="5"/>
  <c r="W87" i="5"/>
  <c r="X87" i="5"/>
  <c r="L82" i="5"/>
  <c r="L89" i="5" s="1"/>
  <c r="L88" i="5"/>
  <c r="V81" i="5"/>
  <c r="V87" i="5"/>
  <c r="K82" i="5"/>
  <c r="K89" i="5" s="1"/>
  <c r="K88" i="5"/>
  <c r="J87" i="5"/>
  <c r="J81" i="5"/>
  <c r="S81" i="3"/>
  <c r="S87" i="3"/>
  <c r="R80" i="3"/>
  <c r="R86" i="3"/>
  <c r="M81" i="3"/>
  <c r="M87" i="3"/>
  <c r="O80" i="3"/>
  <c r="O86" i="3"/>
  <c r="L82" i="3"/>
  <c r="L89" i="3" s="1"/>
  <c r="L88" i="3"/>
  <c r="J81" i="3"/>
  <c r="J87" i="3"/>
  <c r="K82" i="3"/>
  <c r="K89" i="3" s="1"/>
  <c r="K88" i="3"/>
  <c r="U82" i="3"/>
  <c r="U89" i="3" s="1"/>
  <c r="U88" i="3"/>
  <c r="V81" i="3"/>
  <c r="V87" i="3"/>
  <c r="X80" i="3"/>
  <c r="X87" i="3" s="1"/>
  <c r="W81" i="3"/>
  <c r="W88" i="3" s="1"/>
  <c r="T87" i="11" l="1"/>
  <c r="T91" i="11"/>
  <c r="T92" i="11"/>
  <c r="T90" i="11"/>
  <c r="T86" i="11"/>
  <c r="T94" i="11"/>
  <c r="T93" i="11"/>
  <c r="T89" i="11"/>
  <c r="T88" i="11"/>
  <c r="J95" i="12"/>
  <c r="J93" i="12"/>
  <c r="J96" i="12"/>
  <c r="J97" i="12"/>
  <c r="J92" i="12"/>
  <c r="J94" i="12"/>
  <c r="S84" i="11"/>
  <c r="U85" i="11"/>
  <c r="O75" i="9"/>
  <c r="V86" i="9"/>
  <c r="V83" i="9"/>
  <c r="V85" i="9"/>
  <c r="V91" i="9"/>
  <c r="V88" i="9"/>
  <c r="V89" i="9"/>
  <c r="V84" i="9"/>
  <c r="V87" i="9"/>
  <c r="M89" i="9"/>
  <c r="O89" i="9" s="1"/>
  <c r="M84" i="9"/>
  <c r="O84" i="9" s="1"/>
  <c r="M88" i="9"/>
  <c r="O88" i="9" s="1"/>
  <c r="M86" i="9"/>
  <c r="O86" i="9" s="1"/>
  <c r="M87" i="9"/>
  <c r="O87" i="9" s="1"/>
  <c r="M91" i="9"/>
  <c r="M85" i="9"/>
  <c r="O85" i="9" s="1"/>
  <c r="M83" i="9"/>
  <c r="O83" i="9" s="1"/>
  <c r="W83" i="9"/>
  <c r="X83" i="9" s="1"/>
  <c r="W85" i="9"/>
  <c r="W88" i="9"/>
  <c r="W91" i="9"/>
  <c r="W89" i="9"/>
  <c r="W87" i="9"/>
  <c r="W84" i="9"/>
  <c r="X84" i="9" s="1"/>
  <c r="W86" i="9"/>
  <c r="M78" i="8"/>
  <c r="M82" i="8" s="1"/>
  <c r="S75" i="8"/>
  <c r="S69" i="8"/>
  <c r="O70" i="8"/>
  <c r="U70" i="8"/>
  <c r="K70" i="8"/>
  <c r="K78" i="8" s="1"/>
  <c r="K82" i="8" s="1"/>
  <c r="L70" i="8"/>
  <c r="L78" i="8" s="1"/>
  <c r="L82" i="8" s="1"/>
  <c r="V75" i="7"/>
  <c r="K85" i="7"/>
  <c r="K88" i="7"/>
  <c r="K86" i="7"/>
  <c r="K90" i="7"/>
  <c r="K83" i="7"/>
  <c r="K84" i="7"/>
  <c r="K87" i="7"/>
  <c r="K89" i="7"/>
  <c r="X74" i="7"/>
  <c r="W75" i="7"/>
  <c r="J75" i="7"/>
  <c r="L85" i="7"/>
  <c r="L90" i="7"/>
  <c r="L88" i="7"/>
  <c r="L87" i="7"/>
  <c r="L83" i="7"/>
  <c r="L84" i="7"/>
  <c r="L89" i="7"/>
  <c r="L86" i="7"/>
  <c r="S75" i="7"/>
  <c r="R74" i="7"/>
  <c r="O74" i="7"/>
  <c r="M75" i="7"/>
  <c r="U88" i="7"/>
  <c r="S88" i="7" s="1"/>
  <c r="U89" i="7"/>
  <c r="S89" i="7" s="1"/>
  <c r="U87" i="7"/>
  <c r="S87" i="7" s="1"/>
  <c r="U85" i="7"/>
  <c r="S85" i="7" s="1"/>
  <c r="U83" i="7"/>
  <c r="S83" i="7" s="1"/>
  <c r="U90" i="7"/>
  <c r="S90" i="7" s="1"/>
  <c r="U84" i="7"/>
  <c r="S84" i="7" s="1"/>
  <c r="U86" i="7"/>
  <c r="S86" i="7" s="1"/>
  <c r="J82" i="5"/>
  <c r="J89" i="5" s="1"/>
  <c r="J88" i="5"/>
  <c r="W88" i="5"/>
  <c r="W82" i="5"/>
  <c r="W89" i="5" s="1"/>
  <c r="V88" i="5"/>
  <c r="V82" i="5"/>
  <c r="V89" i="5" s="1"/>
  <c r="M82" i="5"/>
  <c r="M89" i="5" s="1"/>
  <c r="M88" i="5"/>
  <c r="O87" i="5"/>
  <c r="O81" i="5"/>
  <c r="S82" i="5"/>
  <c r="S89" i="5" s="1"/>
  <c r="S88" i="5"/>
  <c r="R87" i="5"/>
  <c r="R81" i="5"/>
  <c r="S100" i="5"/>
  <c r="S95" i="5"/>
  <c r="S97" i="5"/>
  <c r="S102" i="5"/>
  <c r="S94" i="5"/>
  <c r="S98" i="5"/>
  <c r="S101" i="5"/>
  <c r="S103" i="5"/>
  <c r="S93" i="5"/>
  <c r="S104" i="5"/>
  <c r="S96" i="5"/>
  <c r="S99" i="5"/>
  <c r="V82" i="3"/>
  <c r="V89" i="3" s="1"/>
  <c r="V88" i="3"/>
  <c r="K98" i="3"/>
  <c r="K100" i="3"/>
  <c r="K103" i="3"/>
  <c r="K101" i="3"/>
  <c r="K104" i="3"/>
  <c r="K96" i="3"/>
  <c r="K94" i="3"/>
  <c r="K90" i="3"/>
  <c r="J90" i="3" s="1"/>
  <c r="K95" i="3"/>
  <c r="K91" i="3"/>
  <c r="J91" i="3" s="1"/>
  <c r="K97" i="3"/>
  <c r="K92" i="3"/>
  <c r="J92" i="3" s="1"/>
  <c r="K93" i="3"/>
  <c r="K99" i="3"/>
  <c r="K102" i="3"/>
  <c r="O81" i="3"/>
  <c r="O87" i="3"/>
  <c r="R81" i="3"/>
  <c r="R87" i="3"/>
  <c r="L98" i="3"/>
  <c r="L93" i="3"/>
  <c r="L92" i="3"/>
  <c r="L99" i="3"/>
  <c r="L102" i="3"/>
  <c r="L100" i="3"/>
  <c r="L101" i="3"/>
  <c r="L104" i="3"/>
  <c r="L97" i="3"/>
  <c r="L96" i="3"/>
  <c r="L95" i="3"/>
  <c r="L103" i="3"/>
  <c r="L94" i="3"/>
  <c r="L91" i="3"/>
  <c r="L90" i="3"/>
  <c r="U103" i="3"/>
  <c r="S103" i="3" s="1"/>
  <c r="U102" i="3"/>
  <c r="S102" i="3" s="1"/>
  <c r="U101" i="3"/>
  <c r="S101" i="3" s="1"/>
  <c r="U100" i="3"/>
  <c r="S100" i="3" s="1"/>
  <c r="U99" i="3"/>
  <c r="S99" i="3" s="1"/>
  <c r="U98" i="3"/>
  <c r="S98" i="3" s="1"/>
  <c r="U97" i="3"/>
  <c r="S97" i="3" s="1"/>
  <c r="U104" i="3"/>
  <c r="S104" i="3" s="1"/>
  <c r="U96" i="3"/>
  <c r="S96" i="3" s="1"/>
  <c r="U95" i="3"/>
  <c r="S95" i="3" s="1"/>
  <c r="U94" i="3"/>
  <c r="S94" i="3" s="1"/>
  <c r="U93" i="3"/>
  <c r="S93" i="3" s="1"/>
  <c r="U92" i="3"/>
  <c r="S92" i="3" s="1"/>
  <c r="R92" i="3" s="1"/>
  <c r="U91" i="3"/>
  <c r="S91" i="3" s="1"/>
  <c r="R91" i="3" s="1"/>
  <c r="U90" i="3"/>
  <c r="S90" i="3" s="1"/>
  <c r="R90" i="3" s="1"/>
  <c r="J82" i="3"/>
  <c r="J89" i="3" s="1"/>
  <c r="J88" i="3"/>
  <c r="M82" i="3"/>
  <c r="M89" i="3" s="1"/>
  <c r="M88" i="3"/>
  <c r="S82" i="3"/>
  <c r="S89" i="3" s="1"/>
  <c r="S88" i="3"/>
  <c r="X81" i="3"/>
  <c r="W82" i="3"/>
  <c r="W89" i="3" s="1"/>
  <c r="W98" i="3" s="1"/>
  <c r="X98" i="3" s="1"/>
  <c r="U86" i="11" l="1"/>
  <c r="U90" i="11"/>
  <c r="U87" i="11"/>
  <c r="U92" i="11"/>
  <c r="U91" i="11"/>
  <c r="U94" i="11"/>
  <c r="U93" i="11"/>
  <c r="U89" i="11"/>
  <c r="U88" i="11"/>
  <c r="V95" i="12"/>
  <c r="V97" i="12"/>
  <c r="V99" i="12"/>
  <c r="V93" i="12"/>
  <c r="V94" i="12"/>
  <c r="V92" i="12"/>
  <c r="V96" i="12"/>
  <c r="V101" i="12"/>
  <c r="V98" i="12"/>
  <c r="V100" i="12"/>
  <c r="J78" i="11"/>
  <c r="S85" i="11"/>
  <c r="J87" i="11"/>
  <c r="J86" i="11"/>
  <c r="V97" i="9"/>
  <c r="V93" i="9"/>
  <c r="V101" i="9"/>
  <c r="V96" i="9"/>
  <c r="V100" i="9"/>
  <c r="V92" i="9"/>
  <c r="V95" i="9"/>
  <c r="V99" i="9"/>
  <c r="V94" i="9"/>
  <c r="V98" i="9"/>
  <c r="W101" i="9"/>
  <c r="W96" i="9"/>
  <c r="W92" i="9"/>
  <c r="W95" i="9"/>
  <c r="W100" i="9"/>
  <c r="W94" i="9"/>
  <c r="W98" i="9"/>
  <c r="W93" i="9"/>
  <c r="W99" i="9"/>
  <c r="W97" i="9"/>
  <c r="M92" i="9"/>
  <c r="O92" i="9" s="1"/>
  <c r="M96" i="9"/>
  <c r="O96" i="9" s="1"/>
  <c r="M97" i="9"/>
  <c r="O97" i="9" s="1"/>
  <c r="M93" i="9"/>
  <c r="O93" i="9" s="1"/>
  <c r="O91" i="9"/>
  <c r="M95" i="9"/>
  <c r="O95" i="9" s="1"/>
  <c r="M94" i="9"/>
  <c r="O94" i="9" s="1"/>
  <c r="L88" i="8"/>
  <c r="L87" i="8"/>
  <c r="L84" i="8"/>
  <c r="L90" i="8"/>
  <c r="L89" i="8"/>
  <c r="L86" i="8"/>
  <c r="L85" i="8"/>
  <c r="L83" i="8"/>
  <c r="K83" i="8"/>
  <c r="K90" i="8"/>
  <c r="K88" i="8"/>
  <c r="K87" i="8"/>
  <c r="K85" i="8"/>
  <c r="K89" i="8"/>
  <c r="K84" i="8"/>
  <c r="K86" i="8"/>
  <c r="M84" i="8"/>
  <c r="O84" i="8" s="1"/>
  <c r="M83" i="8"/>
  <c r="O83" i="8" s="1"/>
  <c r="M85" i="8"/>
  <c r="O85" i="8" s="1"/>
  <c r="L81" i="8"/>
  <c r="L80" i="8"/>
  <c r="L79" i="8"/>
  <c r="O78" i="8"/>
  <c r="O82" i="8"/>
  <c r="M80" i="8"/>
  <c r="O80" i="8" s="1"/>
  <c r="M81" i="8"/>
  <c r="O81" i="8" s="1"/>
  <c r="M79" i="8"/>
  <c r="O79" i="8" s="1"/>
  <c r="K81" i="8"/>
  <c r="K79" i="8"/>
  <c r="K80" i="8"/>
  <c r="S84" i="8"/>
  <c r="S81" i="8"/>
  <c r="S83" i="8"/>
  <c r="S80" i="8"/>
  <c r="S82" i="8"/>
  <c r="S76" i="8"/>
  <c r="S70" i="8"/>
  <c r="S77" i="8" s="1"/>
  <c r="R75" i="7"/>
  <c r="X75" i="7"/>
  <c r="O75" i="7"/>
  <c r="V88" i="7"/>
  <c r="V84" i="7"/>
  <c r="V89" i="7"/>
  <c r="V87" i="7"/>
  <c r="V85" i="7"/>
  <c r="V83" i="7"/>
  <c r="V90" i="7"/>
  <c r="V86" i="7"/>
  <c r="W88" i="7"/>
  <c r="W84" i="7"/>
  <c r="X84" i="7" s="1"/>
  <c r="W83" i="7"/>
  <c r="X83" i="7" s="1"/>
  <c r="W89" i="7"/>
  <c r="W87" i="7"/>
  <c r="W85" i="7"/>
  <c r="W86" i="7"/>
  <c r="W90" i="7"/>
  <c r="M90" i="7"/>
  <c r="M87" i="7"/>
  <c r="O87" i="7" s="1"/>
  <c r="M84" i="7"/>
  <c r="O84" i="7" s="1"/>
  <c r="M89" i="7"/>
  <c r="O89" i="7" s="1"/>
  <c r="M85" i="7"/>
  <c r="O85" i="7" s="1"/>
  <c r="M83" i="7"/>
  <c r="M86" i="7"/>
  <c r="O86" i="7" s="1"/>
  <c r="M88" i="7"/>
  <c r="O88" i="7" s="1"/>
  <c r="O82" i="5"/>
  <c r="O89" i="5" s="1"/>
  <c r="O88" i="5"/>
  <c r="X88" i="5"/>
  <c r="X89" i="5"/>
  <c r="O103" i="5"/>
  <c r="O100" i="5"/>
  <c r="O95" i="5"/>
  <c r="O97" i="5"/>
  <c r="O94" i="5"/>
  <c r="O101" i="5"/>
  <c r="O93" i="5"/>
  <c r="O102" i="5"/>
  <c r="O91" i="5"/>
  <c r="O98" i="5"/>
  <c r="O99" i="5"/>
  <c r="O96" i="5"/>
  <c r="O92" i="5"/>
  <c r="R82" i="5"/>
  <c r="R89" i="5" s="1"/>
  <c r="R88" i="5"/>
  <c r="R82" i="3"/>
  <c r="R89" i="3" s="1"/>
  <c r="R88" i="3"/>
  <c r="O82" i="3"/>
  <c r="O89" i="3" s="1"/>
  <c r="O88" i="3"/>
  <c r="X82" i="3"/>
  <c r="X89" i="3" s="1"/>
  <c r="X88" i="3"/>
  <c r="M104" i="3"/>
  <c r="M98" i="3"/>
  <c r="O98" i="3" s="1"/>
  <c r="M93" i="3"/>
  <c r="O93" i="3" s="1"/>
  <c r="M99" i="3"/>
  <c r="O99" i="3" s="1"/>
  <c r="M103" i="3"/>
  <c r="O103" i="3" s="1"/>
  <c r="M102" i="3"/>
  <c r="O102" i="3" s="1"/>
  <c r="M95" i="3"/>
  <c r="O95" i="3" s="1"/>
  <c r="M97" i="3"/>
  <c r="O97" i="3" s="1"/>
  <c r="M92" i="3"/>
  <c r="O92" i="3" s="1"/>
  <c r="M100" i="3"/>
  <c r="O100" i="3" s="1"/>
  <c r="M90" i="3"/>
  <c r="O90" i="3" s="1"/>
  <c r="M96" i="3"/>
  <c r="O96" i="3" s="1"/>
  <c r="M101" i="3"/>
  <c r="O101" i="3" s="1"/>
  <c r="M94" i="3"/>
  <c r="O94" i="3" s="1"/>
  <c r="M91" i="3"/>
  <c r="O91" i="3" s="1"/>
  <c r="V95" i="3"/>
  <c r="V103" i="3"/>
  <c r="V102" i="3"/>
  <c r="V101" i="3"/>
  <c r="V100" i="3"/>
  <c r="V99" i="3"/>
  <c r="V97" i="3"/>
  <c r="V98" i="3"/>
  <c r="V104" i="3"/>
  <c r="V94" i="3"/>
  <c r="V93" i="3"/>
  <c r="V92" i="3"/>
  <c r="V91" i="3"/>
  <c r="V90" i="3"/>
  <c r="V96" i="3"/>
  <c r="W103" i="3"/>
  <c r="W102" i="3"/>
  <c r="W101" i="3"/>
  <c r="W100" i="3"/>
  <c r="W99" i="3"/>
  <c r="W96" i="3"/>
  <c r="X96" i="3" s="1"/>
  <c r="W97" i="3"/>
  <c r="X97" i="3" s="1"/>
  <c r="W95" i="3"/>
  <c r="X95" i="3" s="1"/>
  <c r="W94" i="3"/>
  <c r="X94" i="3" s="1"/>
  <c r="W93" i="3"/>
  <c r="X93" i="3" s="1"/>
  <c r="W92" i="3"/>
  <c r="X92" i="3" s="1"/>
  <c r="W91" i="3"/>
  <c r="X91" i="3" s="1"/>
  <c r="W90" i="3"/>
  <c r="X90" i="3" s="1"/>
  <c r="W104" i="3"/>
  <c r="S91" i="11" l="1"/>
  <c r="S94" i="11"/>
  <c r="S97" i="11" s="1"/>
  <c r="S92" i="11"/>
  <c r="S89" i="11"/>
  <c r="S93" i="11"/>
  <c r="S90" i="11"/>
  <c r="S86" i="11"/>
  <c r="S88" i="11"/>
  <c r="S87" i="11"/>
  <c r="S85" i="8"/>
  <c r="V96" i="7"/>
  <c r="V92" i="7"/>
  <c r="V91" i="7"/>
  <c r="V101" i="7"/>
  <c r="V94" i="7"/>
  <c r="V93" i="7"/>
  <c r="V100" i="7"/>
  <c r="V95" i="7"/>
  <c r="V99" i="7"/>
  <c r="V97" i="7"/>
  <c r="V98" i="7"/>
  <c r="M92" i="7"/>
  <c r="O92" i="7" s="1"/>
  <c r="M96" i="7"/>
  <c r="O96" i="7" s="1"/>
  <c r="M94" i="7"/>
  <c r="O94" i="7" s="1"/>
  <c r="M93" i="7"/>
  <c r="O93" i="7" s="1"/>
  <c r="M91" i="7"/>
  <c r="O91" i="7" s="1"/>
  <c r="O90" i="7"/>
  <c r="M95" i="7"/>
  <c r="O95" i="7" s="1"/>
  <c r="W101" i="7"/>
  <c r="W91" i="7"/>
  <c r="W100" i="7"/>
  <c r="W95" i="7"/>
  <c r="W96" i="7"/>
  <c r="W94" i="7"/>
  <c r="W99" i="7"/>
  <c r="W93" i="7"/>
  <c r="W98" i="7"/>
  <c r="W92" i="7"/>
  <c r="W97" i="7"/>
  <c r="O106" i="5"/>
  <c r="O110" i="5"/>
  <c r="O107" i="5"/>
  <c r="O105" i="5"/>
  <c r="O108" i="5"/>
  <c r="O109" i="5"/>
  <c r="V115" i="3"/>
  <c r="V109" i="3"/>
  <c r="V110" i="3"/>
  <c r="V105" i="3"/>
  <c r="V114" i="3"/>
  <c r="V112" i="3"/>
  <c r="V107" i="3"/>
  <c r="V108" i="3"/>
  <c r="V113" i="3"/>
  <c r="V106" i="3"/>
  <c r="V111" i="3"/>
  <c r="M110" i="3"/>
  <c r="O110" i="3" s="1"/>
  <c r="M108" i="3"/>
  <c r="O108" i="3" s="1"/>
  <c r="M106" i="3"/>
  <c r="O106" i="3" s="1"/>
  <c r="M105" i="3"/>
  <c r="O105" i="3" s="1"/>
  <c r="M107" i="3"/>
  <c r="O107" i="3" s="1"/>
  <c r="M109" i="3"/>
  <c r="O109" i="3" s="1"/>
  <c r="O104" i="3"/>
  <c r="W114" i="3"/>
  <c r="W113" i="3"/>
  <c r="W112" i="3"/>
  <c r="W111" i="3"/>
  <c r="W115" i="3"/>
  <c r="W109" i="3"/>
  <c r="W106" i="3"/>
  <c r="W105" i="3"/>
  <c r="W110" i="3"/>
  <c r="W108" i="3"/>
  <c r="W107" i="3"/>
  <c r="S96" i="11" l="1"/>
  <c r="S95" i="11"/>
  <c r="S99" i="11"/>
  <c r="S98" i="11"/>
</calcChain>
</file>

<file path=xl/sharedStrings.xml><?xml version="1.0" encoding="utf-8"?>
<sst xmlns="http://schemas.openxmlformats.org/spreadsheetml/2006/main" count="1018" uniqueCount="148">
  <si>
    <t>CURVE 1</t>
  </si>
  <si>
    <t>DC</t>
  </si>
  <si>
    <t>R</t>
  </si>
  <si>
    <t>POSTED SPEED</t>
  </si>
  <si>
    <t>DESIGN SPEEDQ</t>
  </si>
  <si>
    <t>65 MPH\</t>
  </si>
  <si>
    <t>70 MPH</t>
  </si>
  <si>
    <t>FRA-33 CORRODOR STUDY, PID 119387</t>
  </si>
  <si>
    <t>e</t>
  </si>
  <si>
    <t xml:space="preserve">FUNCTIONAL CLASSIFICATION </t>
  </si>
  <si>
    <t>URBAN - OTHER FREEWAY AND EXPRESSWAY</t>
  </si>
  <si>
    <t>SUPERELEVATION TABLE 202-8 (6% MAX), L&amp;D VOLUME 1</t>
  </si>
  <si>
    <t>NO.</t>
  </si>
  <si>
    <t>CURVE 2</t>
  </si>
  <si>
    <t>CURVE 3</t>
  </si>
  <si>
    <t>CURVE 4</t>
  </si>
  <si>
    <r>
      <t>1</t>
    </r>
    <r>
      <rPr>
        <vertAlign val="superscript"/>
        <sz val="12"/>
        <color theme="1"/>
        <rFont val="Aptos Narrow"/>
        <family val="2"/>
        <scheme val="minor"/>
      </rPr>
      <t>0</t>
    </r>
    <r>
      <rPr>
        <sz val="12"/>
        <color theme="1"/>
        <rFont val="Aptos Narrow"/>
        <family val="2"/>
        <scheme val="minor"/>
      </rPr>
      <t>27'58" LT</t>
    </r>
  </si>
  <si>
    <r>
      <t>1</t>
    </r>
    <r>
      <rPr>
        <vertAlign val="superscript"/>
        <sz val="12"/>
        <color theme="1"/>
        <rFont val="Aptos Narrow"/>
        <family val="2"/>
        <scheme val="minor"/>
      </rPr>
      <t>0</t>
    </r>
    <r>
      <rPr>
        <sz val="12"/>
        <color theme="1"/>
        <rFont val="Aptos Narrow"/>
        <family val="2"/>
        <scheme val="minor"/>
      </rPr>
      <t>28'00"RT</t>
    </r>
  </si>
  <si>
    <r>
      <t>1</t>
    </r>
    <r>
      <rPr>
        <vertAlign val="superscript"/>
        <sz val="12"/>
        <color theme="1"/>
        <rFont val="Aptos Narrow"/>
        <family val="2"/>
        <scheme val="minor"/>
      </rPr>
      <t>0</t>
    </r>
    <r>
      <rPr>
        <sz val="12"/>
        <color theme="1"/>
        <rFont val="Aptos Narrow"/>
        <family val="2"/>
        <scheme val="minor"/>
      </rPr>
      <t>0'00" LT</t>
    </r>
  </si>
  <si>
    <r>
      <t>0</t>
    </r>
    <r>
      <rPr>
        <vertAlign val="superscript"/>
        <sz val="12"/>
        <color theme="1"/>
        <rFont val="Aptos Narrow"/>
        <family val="2"/>
        <scheme val="minor"/>
      </rPr>
      <t>0</t>
    </r>
    <r>
      <rPr>
        <sz val="12"/>
        <color theme="1"/>
        <rFont val="Aptos Narrow"/>
        <family val="2"/>
        <scheme val="minor"/>
      </rPr>
      <t>28'00" RT</t>
    </r>
  </si>
  <si>
    <t>CURVE 5</t>
  </si>
  <si>
    <t>CURVE 6</t>
  </si>
  <si>
    <r>
      <t>0</t>
    </r>
    <r>
      <rPr>
        <vertAlign val="superscript"/>
        <sz val="12"/>
        <color theme="1"/>
        <rFont val="Aptos Narrow"/>
        <family val="2"/>
        <scheme val="minor"/>
      </rPr>
      <t>0</t>
    </r>
    <r>
      <rPr>
        <sz val="12"/>
        <color theme="1"/>
        <rFont val="Aptos Narrow"/>
        <family val="2"/>
        <scheme val="minor"/>
      </rPr>
      <t>28'00" LT</t>
    </r>
  </si>
  <si>
    <t>CURVE 7</t>
  </si>
  <si>
    <t>CURVE 8</t>
  </si>
  <si>
    <t>CURVE 9</t>
  </si>
  <si>
    <t>EXISTING PLANS</t>
  </si>
  <si>
    <t>SUREVY/ON THE PROPOSED PLANS</t>
  </si>
  <si>
    <t>REMARKS</t>
  </si>
  <si>
    <r>
      <t>2</t>
    </r>
    <r>
      <rPr>
        <vertAlign val="superscript"/>
        <sz val="12"/>
        <color theme="1"/>
        <rFont val="Aptos Narrow"/>
        <family val="2"/>
        <scheme val="minor"/>
      </rPr>
      <t>0</t>
    </r>
    <r>
      <rPr>
        <sz val="12"/>
        <color theme="1"/>
        <rFont val="Aptos Narrow"/>
        <family val="2"/>
        <scheme val="minor"/>
      </rPr>
      <t>30'00" RT</t>
    </r>
  </si>
  <si>
    <r>
      <t>1</t>
    </r>
    <r>
      <rPr>
        <vertAlign val="superscript"/>
        <sz val="12"/>
        <color theme="1"/>
        <rFont val="Aptos Narrow"/>
        <family val="2"/>
        <scheme val="minor"/>
      </rPr>
      <t>0</t>
    </r>
    <r>
      <rPr>
        <sz val="12"/>
        <color theme="1"/>
        <rFont val="Aptos Narrow"/>
        <family val="2"/>
        <scheme val="minor"/>
      </rPr>
      <t>28'00.001" LT</t>
    </r>
  </si>
  <si>
    <r>
      <t>1</t>
    </r>
    <r>
      <rPr>
        <vertAlign val="superscript"/>
        <sz val="12"/>
        <color theme="1"/>
        <rFont val="Aptos Narrow"/>
        <family val="2"/>
        <scheme val="minor"/>
      </rPr>
      <t>0</t>
    </r>
    <r>
      <rPr>
        <sz val="12"/>
        <color theme="1"/>
        <rFont val="Aptos Narrow"/>
        <family val="2"/>
        <scheme val="minor"/>
      </rPr>
      <t>28'00.001" RT</t>
    </r>
  </si>
  <si>
    <t>CURVE 10</t>
  </si>
  <si>
    <r>
      <t>0</t>
    </r>
    <r>
      <rPr>
        <vertAlign val="superscript"/>
        <sz val="12"/>
        <color theme="1"/>
        <rFont val="Aptos Narrow"/>
        <family val="2"/>
        <scheme val="minor"/>
      </rPr>
      <t>0</t>
    </r>
    <r>
      <rPr>
        <sz val="12"/>
        <color theme="1"/>
        <rFont val="Aptos Narrow"/>
        <family val="2"/>
        <scheme val="minor"/>
      </rPr>
      <t>58'00"RT</t>
    </r>
  </si>
  <si>
    <r>
      <t>2</t>
    </r>
    <r>
      <rPr>
        <vertAlign val="superscript"/>
        <sz val="12"/>
        <color theme="1"/>
        <rFont val="Aptos Narrow"/>
        <family val="2"/>
        <scheme val="minor"/>
      </rPr>
      <t>0</t>
    </r>
    <r>
      <rPr>
        <sz val="12"/>
        <color theme="1"/>
        <rFont val="Aptos Narrow"/>
        <family val="2"/>
        <scheme val="minor"/>
      </rPr>
      <t>00'00" LT</t>
    </r>
  </si>
  <si>
    <t>Ls = 300'</t>
  </si>
  <si>
    <t>DEFFICIENT SHOULDER WIDTH</t>
  </si>
  <si>
    <r>
      <rPr>
        <b/>
        <sz val="11"/>
        <color theme="1"/>
        <rFont val="Aptos Narrow"/>
        <family val="2"/>
        <scheme val="minor"/>
      </rPr>
      <t>Under I-270 - Effective Shoulder Width from the Proposed basemap is 3.8 feet which is less than 4 feet.</t>
    </r>
    <r>
      <rPr>
        <sz val="11"/>
        <color theme="1"/>
        <rFont val="Aptos Narrow"/>
        <family val="2"/>
        <scheme val="minor"/>
      </rPr>
      <t xml:space="preserve">
Per L&amp;D Volume 1 Section 301.2.3 - Paved Shoulder width reductions of less than 2 foot at sign or luminaire foundations or bridge piers will not require a Design Exception. The 4 foot minimum lateral clearacne still be provided.
Also per Section 301.2.5 As a minimum designer should provide a shy line offset of at least 4 feet.
Also per section 602.1.1 - The face of the guardrail, concrte barrier or bridge parapet should not be located closer than 4 feet to the edge of the traveled lane.</t>
    </r>
  </si>
  <si>
    <t>Under SR 317 - Effective Shoulder Width from the Proposed basemap is 3.8 feet which is less than 4 feet.</t>
  </si>
  <si>
    <t>Under Ebright Road - Effective Shoulder Width from the Proposed basemap is 3.8 feet which is less than 4 feet.</t>
  </si>
  <si>
    <t>Under Gender Road - Effective Shoulder Width from the Proposed basemap on the WB direction is about 3,5 feet which is less than 4 feet.</t>
  </si>
  <si>
    <t>Used 4.6% OK</t>
  </si>
  <si>
    <t>PI</t>
  </si>
  <si>
    <t>PC</t>
  </si>
  <si>
    <t>PT</t>
  </si>
  <si>
    <t>DESIGN SPEED</t>
  </si>
  <si>
    <t>G</t>
  </si>
  <si>
    <r>
      <t>1</t>
    </r>
    <r>
      <rPr>
        <vertAlign val="superscript"/>
        <sz val="11"/>
        <color theme="1"/>
        <rFont val="Aptos Narrow"/>
        <family val="2"/>
        <scheme val="minor"/>
      </rPr>
      <t>0</t>
    </r>
    <r>
      <rPr>
        <sz val="11"/>
        <color theme="1"/>
        <rFont val="Aptos Narrow"/>
        <family val="2"/>
        <scheme val="minor"/>
      </rPr>
      <t xml:space="preserve">28'00.001" </t>
    </r>
  </si>
  <si>
    <t>From Figure 202-8</t>
  </si>
  <si>
    <t>Use</t>
  </si>
  <si>
    <t>Tr</t>
  </si>
  <si>
    <t>Normal Slope</t>
  </si>
  <si>
    <t>0.0452 (Calculated)</t>
  </si>
  <si>
    <t>Lr</t>
  </si>
  <si>
    <t>Lr1+Lr2</t>
  </si>
  <si>
    <t>Lr1 = Tr</t>
  </si>
  <si>
    <t>Lr2</t>
  </si>
  <si>
    <t>US 33, CURVE # 2
FUNCTIONAL CLASSIFICATION - URBAN EXPRESSWAY
3 LANE DIVIDED, WITH FUTURE 4RT LANE IN THE MEDIAN
SEE TYPICAL SECTION AND SUPERELEVATION SKETCH FOR POINT OF ROTATION AND CROWN POINT</t>
  </si>
  <si>
    <t>Superelevation Runoff = (Width)*(Change in Slope)*(G)</t>
  </si>
  <si>
    <t>STATION</t>
  </si>
  <si>
    <t>3 lanes (3 x 12 = 36')</t>
  </si>
  <si>
    <t>Tangent Runout = (Width)*(Change in Slope)*(G), 2 lanes are rotated</t>
  </si>
  <si>
    <t>(2/3)*Lr</t>
  </si>
  <si>
    <t>NC, BEGIN TANGENT RUNOUT</t>
  </si>
  <si>
    <t>SHLD SLOPE</t>
  </si>
  <si>
    <t>PAVT SLOPE 1</t>
  </si>
  <si>
    <t>PAVT SLOPE 2</t>
  </si>
  <si>
    <t>INSIDE SHLD SLOPE</t>
  </si>
  <si>
    <t>PAVT SLOPE 3</t>
  </si>
  <si>
    <t>PAVT SLOPE 4</t>
  </si>
  <si>
    <t>ROTATION POINT/PGL</t>
  </si>
  <si>
    <t>US-33 EASTBOUND</t>
  </si>
  <si>
    <t>US-33 WESTBOUND</t>
  </si>
  <si>
    <t>SHOULDER SLOPE BREAK, OUTSIDE</t>
  </si>
  <si>
    <t>SHOULDER BREAK, MEDIAN</t>
  </si>
  <si>
    <t>MEDIAN SHOULDER SLOPE BREAK</t>
  </si>
  <si>
    <t>FULL SUPERELEVATION</t>
  </si>
  <si>
    <t>END TANGENT RUNOUT, BEGIN SUPER TRANSITION</t>
  </si>
  <si>
    <t>NC, TANGENT RUNOUT</t>
  </si>
  <si>
    <t>END SUPER TRANSISITON, BEGIN FULL SUPER</t>
  </si>
  <si>
    <t>END FULL SUPER, BEGIN SUPER TRANSITION</t>
  </si>
  <si>
    <t>END SUPER TRANSISITION, BEGIN TANGENT RUN OUT</t>
  </si>
  <si>
    <t>OUTSIDE SHOULDER SLOPE BREAK</t>
  </si>
  <si>
    <t>END SUPER TRANSITION, BEGIN TANGET RUNOUT</t>
  </si>
  <si>
    <t>END TANGENT RUNOUT, NORMAL CROWN</t>
  </si>
  <si>
    <t>Tangent Runout = (Width)*(Change in Slope)*(G), 1 lane are rotated</t>
  </si>
  <si>
    <t>(1/3)*Lr</t>
  </si>
  <si>
    <t>HALF FLAT</t>
  </si>
  <si>
    <t>NC</t>
  </si>
  <si>
    <t>NORMAL CROWN, BEGIN TANGENT RUN OUT</t>
  </si>
  <si>
    <t>FULL SUPER</t>
  </si>
  <si>
    <t>HALF FLAT, BEGIN SUPER TRANSITION, STA. FROM US 33 EB 0.8%</t>
  </si>
  <si>
    <t>US 33 EASTBOUND - APPROACH END</t>
  </si>
  <si>
    <t>US 33 WESTBOUND - APPROACH END</t>
  </si>
  <si>
    <t>US 33 EASTBOUND - DEPARTING END</t>
  </si>
  <si>
    <t>US 33 WESTBOUND - DEPARTING END</t>
  </si>
  <si>
    <t>HALF FLAT, BEGIN SUPER ELEVATION TRANSITION</t>
  </si>
  <si>
    <t>END SUPER ELEVATION TRANSITION, BEGIN FULL SUPERELEVATION</t>
  </si>
  <si>
    <t>END FULL SUPERELEVATION, BEGIN SUPERELEVATION TRANSITION</t>
  </si>
  <si>
    <t>HALF FLAT, BEGIN TANGENT RUNOUT</t>
  </si>
  <si>
    <t>Check OK</t>
  </si>
  <si>
    <t>US 33, CURVE # 3
FUNCTIONAL CLASSIFICATION - URBAN EXPRESSWAY
3 LANE DIVIDED, WITH FUTURE 4RT LANE IN THE MEDIAN
SEE TYPICAL SECTION AND SUPERELEVATION SKETCH FOR POINT OF ROTATION AND CROWN POINT</t>
  </si>
  <si>
    <t>CURVING RIGHT</t>
  </si>
  <si>
    <t>CURVING LEFT</t>
  </si>
  <si>
    <t>OUSIDE SHOULDER SLOPE BREAK</t>
  </si>
  <si>
    <t>MEDIAN SHOULDER SLOPE</t>
  </si>
  <si>
    <t>SHOULDER SLOPE BREAK, INSIDE MEDIAN</t>
  </si>
  <si>
    <t>OUTSIDE SHOULDER SLOPE</t>
  </si>
  <si>
    <t>INSIDE SHOULDER SLOPE BREAK</t>
  </si>
  <si>
    <t>END TANGENT RUN OUT, NORMAL CROWN</t>
  </si>
  <si>
    <t>0.033 (Calculated)</t>
  </si>
  <si>
    <r>
      <t>1</t>
    </r>
    <r>
      <rPr>
        <vertAlign val="superscript"/>
        <sz val="11"/>
        <color theme="1"/>
        <rFont val="Aptos Narrow"/>
        <family val="2"/>
        <scheme val="minor"/>
      </rPr>
      <t>0</t>
    </r>
    <r>
      <rPr>
        <sz val="11"/>
        <color theme="1"/>
        <rFont val="Aptos Narrow"/>
        <family val="2"/>
        <scheme val="minor"/>
      </rPr>
      <t xml:space="preserve">00'00" </t>
    </r>
  </si>
  <si>
    <t>US 33, CURVE # 5
FUNCTIONAL CLASSIFICATION - URBAN EXPRESSWAY
3 LANE DIVIDED, WITH FUTURE 4RT LANE IN THE MEDIAN
SEE TYPICAL SECTION AND SUPERELEVATION SKETCH FOR POINT OF ROTATION AND CROWN POINT</t>
  </si>
  <si>
    <t>US 33, CURVE # 4
FUNCTIONAL CLASSIFICATION - URBAN EXPRESSWAY
3 LANE DIVIDED, WITH FUTURE 4RT LANE IN THE MEDIAN
SEE TYPICAL SECTION AND SUPERELEVATION SKETCH FOR POINT OF ROTATION AND CROWN POINT</t>
  </si>
  <si>
    <t>0.0177 (Calculated)</t>
  </si>
  <si>
    <r>
      <t>0</t>
    </r>
    <r>
      <rPr>
        <vertAlign val="superscript"/>
        <sz val="11"/>
        <color theme="1"/>
        <rFont val="Aptos Narrow"/>
        <family val="2"/>
        <scheme val="minor"/>
      </rPr>
      <t>0</t>
    </r>
    <r>
      <rPr>
        <sz val="11"/>
        <color theme="1"/>
        <rFont val="Aptos Narrow"/>
        <family val="2"/>
        <scheme val="minor"/>
      </rPr>
      <t xml:space="preserve">28'00" </t>
    </r>
  </si>
  <si>
    <t>Used 1.8%</t>
  </si>
  <si>
    <t>US 33, CURVE # 6
FUNCTIONAL CLASSIFICATION - URBAN EXPRESSWAY
3 LANE DIVIDED, WITH FUTURE 4RT LANE IN THE MEDIAN
SEE TYPICAL SECTION AND SUPERELEVATION SKETCH FOR POINT OF ROTATION AND CROWN POINT</t>
  </si>
  <si>
    <t>Used 3.3%</t>
  </si>
  <si>
    <t>US 33, CURVE # 7
FUNCTIONAL CLASSIFICATION - URBAN EXPRESSWAY
3 LANE DIVIDED, WITH FUTURE 4RT LANE IN THE MEDIAN
SEE TYPICAL SECTION AND SUPERELEVATION SKETCH FOR POINT OF ROTATION AND CROWN POINT</t>
  </si>
  <si>
    <r>
      <t>0</t>
    </r>
    <r>
      <rPr>
        <vertAlign val="superscript"/>
        <sz val="11"/>
        <color theme="1"/>
        <rFont val="Aptos Narrow"/>
        <family val="2"/>
        <scheme val="minor"/>
      </rPr>
      <t>0</t>
    </r>
    <r>
      <rPr>
        <sz val="11"/>
        <color theme="1"/>
        <rFont val="Aptos Narrow"/>
        <family val="2"/>
        <scheme val="minor"/>
      </rPr>
      <t>28'00"</t>
    </r>
  </si>
  <si>
    <t>US 33, CURVE # 8
FUNCTIONAL CLASSIFICATION - URBAN EXPRESSWAY
3 LANE DIVIDED, WITH FUTURE 4RT LANE IN THE MEDIAN
SEE TYPICAL SECTION AND SUPERELEVATION SKETCH FOR POINT OF ROTATION AND CROWN POINT</t>
  </si>
  <si>
    <r>
      <t>0</t>
    </r>
    <r>
      <rPr>
        <vertAlign val="superscript"/>
        <sz val="11"/>
        <color theme="1"/>
        <rFont val="Aptos Narrow"/>
        <family val="2"/>
        <scheme val="minor"/>
      </rPr>
      <t>0</t>
    </r>
    <r>
      <rPr>
        <sz val="11"/>
        <color theme="1"/>
        <rFont val="Aptos Narrow"/>
        <family val="2"/>
        <scheme val="minor"/>
      </rPr>
      <t>58'00"</t>
    </r>
  </si>
  <si>
    <t>0.0328 (Calculated)</t>
  </si>
  <si>
    <t>Station Equation, Sta. 1644+72.45 = Sta. 0+00.00</t>
  </si>
  <si>
    <t>US 33, CURVE # 9
FUNCTIONAL CLASSIFICATION - URBAN EXPRESSWAY
3 LANE DIVIDED, WITH FUTURE 4RT LANE IN THE MEDIAN
SEE TYPICAL SECTION AND SUPERELEVATION SKETCH FOR POINT OF ROTATION AND CROWN POINT</t>
  </si>
  <si>
    <t>TS</t>
  </si>
  <si>
    <t>SC</t>
  </si>
  <si>
    <r>
      <t>2</t>
    </r>
    <r>
      <rPr>
        <vertAlign val="superscript"/>
        <sz val="11"/>
        <color theme="1"/>
        <rFont val="Aptos Narrow"/>
        <family val="2"/>
        <scheme val="minor"/>
      </rPr>
      <t>0</t>
    </r>
    <r>
      <rPr>
        <sz val="11"/>
        <color theme="1"/>
        <rFont val="Aptos Narrow"/>
        <family val="2"/>
        <scheme val="minor"/>
      </rPr>
      <t>00'00"</t>
    </r>
  </si>
  <si>
    <t>0.055 (Calculated)</t>
  </si>
  <si>
    <t>ST</t>
  </si>
  <si>
    <t>CS</t>
  </si>
  <si>
    <t>FULL SUPER, SC</t>
  </si>
  <si>
    <t>CS, END FULL SUPER, BEGIN SUPER TRANSITION</t>
  </si>
  <si>
    <t>US 33, CURVE # 10
FUNCTIONAL CLASSIFICATION - URBAN EXPRESSWAY
3 LANE DIVIDED, WITH FUTURE 4RT LANE IN THE MEDIAN
SEE TYPICAL SECTION AND SUPERELEVATION SKETCH FOR POINT OF ROTATION AND CROWN POINT</t>
  </si>
  <si>
    <t>HALF FLAT, END SUPER TRANSITION, BEGIN TANGET RUNOUT</t>
  </si>
  <si>
    <t>W1 (Median)</t>
  </si>
  <si>
    <t>W2 (Middle)</t>
  </si>
  <si>
    <t>W3 (Outside)</t>
  </si>
  <si>
    <t>Tangent Runout = (Width)*(Change in Slope)*(G), 1 lane are rotated (W = 11')</t>
  </si>
  <si>
    <t>HALF FLAT, BEGIN SUPER TRANSITION</t>
  </si>
  <si>
    <t>2 Lanes Rotated,Width = 12+12 = 24</t>
  </si>
  <si>
    <t>3 Lanes Rotated, W = 12+12+12 = 36</t>
  </si>
  <si>
    <t>Median Shld Rounding</t>
  </si>
  <si>
    <t>1 Lane Rotation,Width = 12'</t>
  </si>
  <si>
    <t>3 Lanes Rotated, W = 12+12+12 = 36'</t>
  </si>
  <si>
    <t>3 Lanes Rotated, W = 12+12+12 = 36.0'</t>
  </si>
  <si>
    <t>2 Lanes Rotated,Width = 12+12 = 24'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</si>
</sst>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000\+00.00"/>
    <numFmt numFmtId="166" formatCode="#,##0.000"/>
    <numFmt numFmtId="167" formatCode="0.0000"/>
    <numFmt numFmtId="168" formatCode="#,##0.0000"/>
    <numFmt numFmtId="169" formatCode="00\+00.00"/>
    <numFmt numFmtId="170" formatCode="0\+00.00"/>
    <numFmt numFmtId="171" formatCode="0.000000000"/>
    <numFmt numFmtId="172" formatCode="0.00000000000"/>
  </numFmts>
  <fonts count="10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perscript"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4" xfId="0" applyBorder="1"/>
    <xf numFmtId="0" fontId="0" fillId="2" borderId="5" xfId="0" applyFill="1" applyBorder="1"/>
    <xf numFmtId="0" fontId="1" fillId="2" borderId="0" xfId="0" applyFont="1" applyFill="1"/>
    <xf numFmtId="0" fontId="2" fillId="2" borderId="0" xfId="0" applyFont="1" applyFill="1"/>
    <xf numFmtId="0" fontId="2" fillId="2" borderId="3" xfId="0" applyFont="1" applyFill="1" applyBorder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0" fontId="2" fillId="0" borderId="17" xfId="0" applyNumberFormat="1" applyFont="1" applyBorder="1" applyAlignment="1">
      <alignment horizontal="center" vertical="center"/>
    </xf>
    <xf numFmtId="10" fontId="2" fillId="0" borderId="1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0" fontId="2" fillId="0" borderId="12" xfId="0" applyNumberFormat="1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0" fontId="2" fillId="3" borderId="12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0" fontId="2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10" fontId="0" fillId="0" borderId="20" xfId="0" applyNumberFormat="1" applyBorder="1" applyAlignment="1">
      <alignment horizontal="left" vertical="center"/>
    </xf>
    <xf numFmtId="164" fontId="0" fillId="0" borderId="20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4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/>
    <xf numFmtId="0" fontId="0" fillId="0" borderId="25" xfId="0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165" fontId="0" fillId="4" borderId="25" xfId="0" applyNumberForma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5" fontId="4" fillId="4" borderId="25" xfId="0" applyNumberFormat="1" applyFont="1" applyFill="1" applyBorder="1" applyAlignment="1">
      <alignment horizontal="center"/>
    </xf>
    <xf numFmtId="166" fontId="0" fillId="0" borderId="25" xfId="0" applyNumberFormat="1" applyBorder="1" applyAlignment="1">
      <alignment horizontal="center" vertical="center"/>
    </xf>
    <xf numFmtId="165" fontId="0" fillId="4" borderId="25" xfId="0" applyNumberFormat="1" applyFill="1" applyBorder="1" applyAlignment="1">
      <alignment horizontal="center"/>
    </xf>
    <xf numFmtId="164" fontId="6" fillId="0" borderId="25" xfId="0" applyNumberFormat="1" applyFont="1" applyBorder="1" applyAlignment="1">
      <alignment horizontal="center" vertical="center"/>
    </xf>
    <xf numFmtId="166" fontId="6" fillId="0" borderId="25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64" fontId="8" fillId="0" borderId="25" xfId="0" applyNumberFormat="1" applyFont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165" fontId="9" fillId="4" borderId="25" xfId="0" applyNumberFormat="1" applyFont="1" applyFill="1" applyBorder="1" applyAlignment="1">
      <alignment horizontal="center"/>
    </xf>
    <xf numFmtId="165" fontId="4" fillId="4" borderId="25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165" fontId="0" fillId="0" borderId="27" xfId="0" applyNumberForma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0" xfId="0" applyFont="1" applyBorder="1"/>
    <xf numFmtId="0" fontId="4" fillId="0" borderId="29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/>
    <xf numFmtId="0" fontId="4" fillId="0" borderId="31" xfId="0" applyFont="1" applyBorder="1" applyAlignment="1">
      <alignment horizontal="left" vertical="center"/>
    </xf>
    <xf numFmtId="164" fontId="0" fillId="0" borderId="32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165" fontId="4" fillId="4" borderId="32" xfId="0" applyNumberFormat="1" applyFont="1" applyFill="1" applyBorder="1" applyAlignment="1">
      <alignment horizontal="center" vertical="center"/>
    </xf>
    <xf numFmtId="164" fontId="6" fillId="0" borderId="32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7" xfId="0" applyBorder="1"/>
    <xf numFmtId="0" fontId="0" fillId="0" borderId="20" xfId="0" applyBorder="1"/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65" fontId="0" fillId="0" borderId="7" xfId="0" applyNumberFormat="1" applyBorder="1" applyAlignment="1">
      <alignment horizontal="left" vertical="center"/>
    </xf>
    <xf numFmtId="165" fontId="0" fillId="0" borderId="20" xfId="0" applyNumberForma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65" fontId="0" fillId="0" borderId="12" xfId="0" applyNumberFormat="1" applyBorder="1" applyAlignment="1">
      <alignment horizontal="left" vertical="center"/>
    </xf>
    <xf numFmtId="165" fontId="0" fillId="0" borderId="13" xfId="0" applyNumberFormat="1" applyBorder="1" applyAlignment="1">
      <alignment horizontal="left" vertical="center"/>
    </xf>
    <xf numFmtId="10" fontId="0" fillId="0" borderId="12" xfId="0" applyNumberFormat="1" applyBorder="1" applyAlignment="1">
      <alignment horizontal="left" vertical="center"/>
    </xf>
    <xf numFmtId="9" fontId="0" fillId="0" borderId="12" xfId="0" applyNumberFormat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0" fillId="0" borderId="37" xfId="0" applyBorder="1" applyAlignment="1">
      <alignment horizontal="left" vertical="center"/>
    </xf>
    <xf numFmtId="165" fontId="0" fillId="0" borderId="38" xfId="0" applyNumberFormat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10" fontId="0" fillId="0" borderId="13" xfId="0" applyNumberFormat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2" borderId="38" xfId="0" applyFill="1" applyBorder="1" applyAlignment="1">
      <alignment horizontal="left" vertical="center"/>
    </xf>
    <xf numFmtId="165" fontId="0" fillId="0" borderId="19" xfId="0" applyNumberFormat="1" applyBorder="1" applyAlignment="1">
      <alignment horizontal="left" vertical="center"/>
    </xf>
    <xf numFmtId="164" fontId="6" fillId="4" borderId="25" xfId="0" applyNumberFormat="1" applyFont="1" applyFill="1" applyBorder="1" applyAlignment="1">
      <alignment horizontal="center" vertical="center"/>
    </xf>
    <xf numFmtId="164" fontId="6" fillId="4" borderId="32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7" fontId="0" fillId="0" borderId="25" xfId="0" applyNumberFormat="1" applyBorder="1" applyAlignment="1">
      <alignment horizontal="center" vertical="center"/>
    </xf>
    <xf numFmtId="167" fontId="6" fillId="0" borderId="25" xfId="0" applyNumberFormat="1" applyFont="1" applyBorder="1" applyAlignment="1">
      <alignment horizontal="center" vertical="center"/>
    </xf>
    <xf numFmtId="167" fontId="0" fillId="4" borderId="25" xfId="0" applyNumberFormat="1" applyFill="1" applyBorder="1" applyAlignment="1">
      <alignment horizontal="center" vertical="center"/>
    </xf>
    <xf numFmtId="167" fontId="8" fillId="0" borderId="25" xfId="0" applyNumberFormat="1" applyFont="1" applyBorder="1" applyAlignment="1">
      <alignment horizontal="center" vertical="center"/>
    </xf>
    <xf numFmtId="167" fontId="8" fillId="0" borderId="32" xfId="0" applyNumberFormat="1" applyFont="1" applyBorder="1" applyAlignment="1">
      <alignment horizontal="center" vertical="center"/>
    </xf>
    <xf numFmtId="167" fontId="0" fillId="0" borderId="32" xfId="0" applyNumberFormat="1" applyBorder="1" applyAlignment="1">
      <alignment horizontal="center" vertical="center"/>
    </xf>
    <xf numFmtId="168" fontId="0" fillId="0" borderId="25" xfId="0" applyNumberFormat="1" applyBorder="1" applyAlignment="1">
      <alignment horizontal="center" vertical="center"/>
    </xf>
    <xf numFmtId="168" fontId="8" fillId="0" borderId="25" xfId="0" applyNumberFormat="1" applyFont="1" applyBorder="1" applyAlignment="1">
      <alignment horizontal="center" vertical="center"/>
    </xf>
    <xf numFmtId="168" fontId="6" fillId="0" borderId="25" xfId="0" applyNumberFormat="1" applyFont="1" applyBorder="1" applyAlignment="1">
      <alignment horizontal="center" vertical="center"/>
    </xf>
    <xf numFmtId="167" fontId="6" fillId="0" borderId="32" xfId="0" applyNumberFormat="1" applyFont="1" applyBorder="1" applyAlignment="1">
      <alignment horizontal="center" vertical="center"/>
    </xf>
    <xf numFmtId="169" fontId="0" fillId="0" borderId="20" xfId="0" applyNumberFormat="1" applyBorder="1" applyAlignment="1">
      <alignment horizontal="left" vertical="center"/>
    </xf>
    <xf numFmtId="169" fontId="0" fillId="0" borderId="12" xfId="0" applyNumberFormat="1" applyBorder="1" applyAlignment="1">
      <alignment horizontal="left" vertical="center"/>
    </xf>
    <xf numFmtId="169" fontId="0" fillId="0" borderId="38" xfId="0" applyNumberFormat="1" applyBorder="1" applyAlignment="1">
      <alignment horizontal="left" vertical="center"/>
    </xf>
    <xf numFmtId="2" fontId="0" fillId="0" borderId="0" xfId="0" applyNumberFormat="1"/>
    <xf numFmtId="164" fontId="4" fillId="0" borderId="0" xfId="0" applyNumberFormat="1" applyFont="1" applyAlignment="1">
      <alignment horizontal="center" vertical="center" wrapText="1"/>
    </xf>
    <xf numFmtId="169" fontId="0" fillId="4" borderId="25" xfId="0" applyNumberFormat="1" applyFill="1" applyBorder="1" applyAlignment="1">
      <alignment horizontal="center" vertical="center"/>
    </xf>
    <xf numFmtId="169" fontId="0" fillId="4" borderId="25" xfId="0" applyNumberFormat="1" applyFill="1" applyBorder="1" applyAlignment="1">
      <alignment horizontal="center"/>
    </xf>
    <xf numFmtId="169" fontId="4" fillId="4" borderId="25" xfId="0" applyNumberFormat="1" applyFont="1" applyFill="1" applyBorder="1" applyAlignment="1">
      <alignment horizontal="center"/>
    </xf>
    <xf numFmtId="170" fontId="0" fillId="4" borderId="25" xfId="0" applyNumberFormat="1" applyFill="1" applyBorder="1" applyAlignment="1">
      <alignment horizontal="center" vertical="center"/>
    </xf>
    <xf numFmtId="169" fontId="9" fillId="4" borderId="25" xfId="0" applyNumberFormat="1" applyFont="1" applyFill="1" applyBorder="1" applyAlignment="1">
      <alignment horizontal="center"/>
    </xf>
    <xf numFmtId="169" fontId="4" fillId="4" borderId="25" xfId="0" applyNumberFormat="1" applyFont="1" applyFill="1" applyBorder="1" applyAlignment="1">
      <alignment horizontal="center" vertical="center"/>
    </xf>
    <xf numFmtId="169" fontId="4" fillId="4" borderId="32" xfId="0" applyNumberFormat="1" applyFont="1" applyFill="1" applyBorder="1" applyAlignment="1">
      <alignment horizontal="center" vertical="center"/>
    </xf>
    <xf numFmtId="169" fontId="0" fillId="0" borderId="19" xfId="0" applyNumberFormat="1" applyBorder="1" applyAlignment="1">
      <alignment horizontal="left" vertical="center"/>
    </xf>
    <xf numFmtId="169" fontId="0" fillId="0" borderId="13" xfId="0" applyNumberFormat="1" applyBorder="1" applyAlignment="1">
      <alignment horizontal="left" vertical="center"/>
    </xf>
    <xf numFmtId="169" fontId="0" fillId="0" borderId="7" xfId="0" applyNumberFormat="1" applyBorder="1" applyAlignment="1">
      <alignment horizontal="left" vertical="center"/>
    </xf>
    <xf numFmtId="0" fontId="0" fillId="0" borderId="20" xfId="0" applyBorder="1" applyAlignment="1">
      <alignment horizontal="right"/>
    </xf>
    <xf numFmtId="0" fontId="0" fillId="0" borderId="8" xfId="0" applyBorder="1"/>
    <xf numFmtId="169" fontId="8" fillId="4" borderId="25" xfId="0" applyNumberFormat="1" applyFont="1" applyFill="1" applyBorder="1" applyAlignment="1">
      <alignment horizontal="center"/>
    </xf>
    <xf numFmtId="0" fontId="0" fillId="0" borderId="21" xfId="0" applyBorder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3" xfId="0" applyBorder="1"/>
    <xf numFmtId="0" fontId="0" fillId="0" borderId="21" xfId="0" applyBorder="1" applyAlignment="1">
      <alignment horizontal="left" vertical="center"/>
    </xf>
    <xf numFmtId="0" fontId="0" fillId="0" borderId="34" xfId="0" applyBorder="1"/>
    <xf numFmtId="164" fontId="0" fillId="0" borderId="8" xfId="0" applyNumberFormat="1" applyBorder="1" applyAlignment="1">
      <alignment horizontal="left" vertical="center"/>
    </xf>
    <xf numFmtId="164" fontId="0" fillId="0" borderId="12" xfId="0" applyNumberFormat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171" fontId="0" fillId="0" borderId="12" xfId="0" applyNumberFormat="1" applyBorder="1" applyAlignment="1">
      <alignment horizontal="left" vertical="center"/>
    </xf>
    <xf numFmtId="172" fontId="0" fillId="0" borderId="0" xfId="0" applyNumberFormat="1" applyAlignment="1">
      <alignment horizontal="left" vertical="center"/>
    </xf>
    <xf numFmtId="169" fontId="0" fillId="0" borderId="21" xfId="0" applyNumberFormat="1" applyBorder="1"/>
    <xf numFmtId="164" fontId="0" fillId="0" borderId="0" xfId="0" applyNumberFormat="1"/>
    <xf numFmtId="172" fontId="0" fillId="0" borderId="0" xfId="0" applyNumberFormat="1"/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65" fontId="4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164" fontId="4" fillId="5" borderId="6" xfId="0" applyNumberFormat="1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164" fontId="4" fillId="5" borderId="3" xfId="0" applyNumberFormat="1" applyFont="1" applyFill="1" applyBorder="1" applyAlignment="1">
      <alignment horizontal="center" vertical="center"/>
    </xf>
    <xf numFmtId="164" fontId="4" fillId="5" borderId="43" xfId="0" applyNumberFormat="1" applyFont="1" applyFill="1" applyBorder="1" applyAlignment="1">
      <alignment horizontal="center" vertical="center"/>
    </xf>
    <xf numFmtId="171" fontId="0" fillId="0" borderId="22" xfId="0" applyNumberForma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B5167-6AA1-4F80-8C15-33C30F207C8D}">
  <dimension ref="A1:J31"/>
  <sheetViews>
    <sheetView workbookViewId="0">
      <selection activeCell="M15" sqref="M15:P15"/>
    </sheetView>
  </sheetViews>
  <sheetFormatPr defaultRowHeight="14.4" x14ac:dyDescent="0.3"/>
  <cols>
    <col min="1" max="1" width="9.88671875" customWidth="1"/>
    <col min="2" max="2" width="11.44140625" customWidth="1"/>
    <col min="3" max="3" width="12.6640625" customWidth="1"/>
    <col min="4" max="4" width="11" customWidth="1"/>
    <col min="6" max="6" width="15.33203125" style="1" customWidth="1"/>
    <col min="7" max="7" width="16.44140625" style="1" customWidth="1"/>
    <col min="9" max="9" width="19.5546875" customWidth="1"/>
  </cols>
  <sheetData>
    <row r="1" spans="1:10" s="4" customFormat="1" ht="15.6" x14ac:dyDescent="0.3">
      <c r="A1" s="4" t="s">
        <v>7</v>
      </c>
      <c r="F1" s="3"/>
      <c r="G1" s="3"/>
    </row>
    <row r="2" spans="1:10" s="4" customFormat="1" ht="15.6" x14ac:dyDescent="0.3">
      <c r="A2" s="4" t="s">
        <v>3</v>
      </c>
      <c r="C2" s="4" t="s">
        <v>5</v>
      </c>
      <c r="F2" s="3"/>
      <c r="G2" s="3"/>
    </row>
    <row r="3" spans="1:10" s="4" customFormat="1" ht="15.6" x14ac:dyDescent="0.3">
      <c r="A3" s="4" t="s">
        <v>4</v>
      </c>
      <c r="C3" s="4" t="s">
        <v>6</v>
      </c>
      <c r="F3" s="3"/>
      <c r="G3" s="3"/>
    </row>
    <row r="4" spans="1:10" s="4" customFormat="1" ht="15.6" x14ac:dyDescent="0.3">
      <c r="A4" s="4" t="s">
        <v>9</v>
      </c>
      <c r="E4" s="4" t="s">
        <v>10</v>
      </c>
      <c r="F4" s="3"/>
      <c r="G4" s="3"/>
    </row>
    <row r="5" spans="1:10" s="7" customFormat="1" ht="15.6" x14ac:dyDescent="0.3">
      <c r="A5" s="4" t="s">
        <v>11</v>
      </c>
      <c r="F5" s="5"/>
      <c r="G5" s="5"/>
    </row>
    <row r="6" spans="1:10" ht="15" thickBot="1" x14ac:dyDescent="0.35"/>
    <row r="7" spans="1:10" ht="15" thickBot="1" x14ac:dyDescent="0.35">
      <c r="A7" s="9"/>
      <c r="B7" s="160" t="s">
        <v>26</v>
      </c>
      <c r="C7" s="161"/>
      <c r="D7" s="162"/>
      <c r="E7" s="10"/>
      <c r="F7" s="157" t="s">
        <v>27</v>
      </c>
      <c r="G7" s="157"/>
      <c r="H7" s="157"/>
      <c r="I7" s="158" t="s">
        <v>28</v>
      </c>
    </row>
    <row r="8" spans="1:10" s="4" customFormat="1" ht="16.2" thickBot="1" x14ac:dyDescent="0.35">
      <c r="A8" s="14" t="s">
        <v>12</v>
      </c>
      <c r="B8" s="24" t="s">
        <v>1</v>
      </c>
      <c r="C8" s="25" t="s">
        <v>2</v>
      </c>
      <c r="D8" s="15" t="s">
        <v>8</v>
      </c>
      <c r="E8" s="11"/>
      <c r="F8" s="15" t="s">
        <v>1</v>
      </c>
      <c r="G8" s="15" t="s">
        <v>2</v>
      </c>
      <c r="H8" s="20" t="s">
        <v>8</v>
      </c>
      <c r="I8" s="159"/>
      <c r="J8" s="3"/>
    </row>
    <row r="9" spans="1:10" s="7" customFormat="1" ht="17.399999999999999" x14ac:dyDescent="0.3">
      <c r="A9" s="30" t="s">
        <v>0</v>
      </c>
      <c r="B9" s="26" t="s">
        <v>29</v>
      </c>
      <c r="C9" s="26">
        <v>2291.8312000000001</v>
      </c>
      <c r="D9" s="26"/>
      <c r="E9" s="12"/>
      <c r="F9" s="26" t="s">
        <v>29</v>
      </c>
      <c r="G9" s="26">
        <v>2291.8312000000001</v>
      </c>
      <c r="H9" s="21"/>
      <c r="I9" s="19"/>
      <c r="J9" s="5"/>
    </row>
    <row r="10" spans="1:10" s="7" customFormat="1" ht="17.399999999999999" x14ac:dyDescent="0.3">
      <c r="A10" s="31" t="s">
        <v>13</v>
      </c>
      <c r="B10" s="28" t="s">
        <v>16</v>
      </c>
      <c r="C10" s="28">
        <v>3908.0106999999998</v>
      </c>
      <c r="D10" s="29">
        <v>4.5199999999999997E-2</v>
      </c>
      <c r="E10" s="12"/>
      <c r="F10" s="16" t="s">
        <v>30</v>
      </c>
      <c r="G10" s="16">
        <v>3906.5304000000001</v>
      </c>
      <c r="H10" s="22">
        <v>4.5199999999999997E-2</v>
      </c>
      <c r="I10" s="16" t="s">
        <v>41</v>
      </c>
      <c r="J10" s="111"/>
    </row>
    <row r="11" spans="1:10" s="7" customFormat="1" ht="17.399999999999999" x14ac:dyDescent="0.3">
      <c r="A11" s="31" t="s">
        <v>14</v>
      </c>
      <c r="B11" s="16" t="s">
        <v>17</v>
      </c>
      <c r="C11" s="16">
        <v>3906.5304000000001</v>
      </c>
      <c r="D11" s="27">
        <v>4.5199999999999997E-2</v>
      </c>
      <c r="E11" s="12"/>
      <c r="F11" s="16" t="s">
        <v>31</v>
      </c>
      <c r="G11" s="16">
        <v>3906.5304000000001</v>
      </c>
      <c r="H11" s="22">
        <v>4.5199999999999997E-2</v>
      </c>
      <c r="I11" s="16" t="s">
        <v>41</v>
      </c>
      <c r="J11" s="111"/>
    </row>
    <row r="12" spans="1:10" s="7" customFormat="1" ht="17.399999999999999" x14ac:dyDescent="0.3">
      <c r="A12" s="31" t="s">
        <v>15</v>
      </c>
      <c r="B12" s="16" t="s">
        <v>18</v>
      </c>
      <c r="C12" s="16">
        <v>5729.5780000000004</v>
      </c>
      <c r="D12" s="27">
        <v>3.3000000000000002E-2</v>
      </c>
      <c r="E12" s="12"/>
      <c r="F12" s="16" t="s">
        <v>18</v>
      </c>
      <c r="G12" s="16">
        <v>5729.5780000000004</v>
      </c>
      <c r="H12" s="22">
        <v>3.3000000000000002E-2</v>
      </c>
      <c r="I12" s="16"/>
      <c r="J12" s="111"/>
    </row>
    <row r="13" spans="1:10" s="7" customFormat="1" ht="17.399999999999999" x14ac:dyDescent="0.3">
      <c r="A13" s="31" t="s">
        <v>20</v>
      </c>
      <c r="B13" s="16" t="s">
        <v>19</v>
      </c>
      <c r="C13" s="16">
        <v>12277.667100000001</v>
      </c>
      <c r="D13" s="27">
        <v>1.77E-2</v>
      </c>
      <c r="E13" s="12"/>
      <c r="F13" s="16" t="s">
        <v>19</v>
      </c>
      <c r="G13" s="16">
        <v>12277.667100000001</v>
      </c>
      <c r="H13" s="22">
        <v>1.77E-2</v>
      </c>
      <c r="I13" s="16" t="s">
        <v>116</v>
      </c>
      <c r="J13" s="111"/>
    </row>
    <row r="14" spans="1:10" s="7" customFormat="1" ht="17.399999999999999" x14ac:dyDescent="0.3">
      <c r="A14" s="31" t="s">
        <v>21</v>
      </c>
      <c r="B14" s="16" t="s">
        <v>18</v>
      </c>
      <c r="C14" s="16">
        <v>5729.5780000000004</v>
      </c>
      <c r="D14" s="27">
        <v>3.3000000000000002E-2</v>
      </c>
      <c r="E14" s="12"/>
      <c r="F14" s="16" t="s">
        <v>18</v>
      </c>
      <c r="G14" s="16">
        <v>5729.5780000000004</v>
      </c>
      <c r="H14" s="18">
        <v>3.3000000000000002E-2</v>
      </c>
      <c r="I14" s="16"/>
      <c r="J14" s="111"/>
    </row>
    <row r="15" spans="1:10" s="7" customFormat="1" ht="17.399999999999999" x14ac:dyDescent="0.3">
      <c r="A15" s="31" t="s">
        <v>23</v>
      </c>
      <c r="B15" s="16" t="s">
        <v>22</v>
      </c>
      <c r="C15" s="16">
        <v>12277.667100000001</v>
      </c>
      <c r="D15" s="27">
        <v>1.77E-2</v>
      </c>
      <c r="E15" s="12"/>
      <c r="F15" s="16" t="s">
        <v>22</v>
      </c>
      <c r="G15" s="16">
        <v>12277.667100000001</v>
      </c>
      <c r="H15" s="18">
        <v>1.77E-2</v>
      </c>
      <c r="I15" s="16" t="s">
        <v>116</v>
      </c>
      <c r="J15" s="111"/>
    </row>
    <row r="16" spans="1:10" s="7" customFormat="1" ht="17.399999999999999" x14ac:dyDescent="0.3">
      <c r="A16" s="31" t="s">
        <v>24</v>
      </c>
      <c r="B16" s="16" t="s">
        <v>33</v>
      </c>
      <c r="C16" s="16">
        <v>5927.1495999999997</v>
      </c>
      <c r="D16" s="27">
        <v>3.2800000000000003E-2</v>
      </c>
      <c r="E16" s="12"/>
      <c r="F16" s="16" t="s">
        <v>33</v>
      </c>
      <c r="G16" s="16">
        <v>5927.1495999999997</v>
      </c>
      <c r="H16" s="22">
        <v>3.2800000000000003E-2</v>
      </c>
      <c r="I16" s="16" t="s">
        <v>118</v>
      </c>
      <c r="J16" s="111"/>
    </row>
    <row r="17" spans="1:10" s="7" customFormat="1" ht="17.399999999999999" x14ac:dyDescent="0.3">
      <c r="A17" s="31" t="s">
        <v>25</v>
      </c>
      <c r="B17" s="16" t="s">
        <v>34</v>
      </c>
      <c r="C17" s="16">
        <v>2864.7890000000002</v>
      </c>
      <c r="D17" s="27">
        <v>5.5E-2</v>
      </c>
      <c r="E17" s="12"/>
      <c r="F17" s="16" t="s">
        <v>34</v>
      </c>
      <c r="G17" s="16">
        <v>2864.7890000000002</v>
      </c>
      <c r="H17" s="22">
        <v>5.5E-2</v>
      </c>
      <c r="I17" s="16" t="s">
        <v>35</v>
      </c>
      <c r="J17" s="5"/>
    </row>
    <row r="18" spans="1:10" s="7" customFormat="1" ht="18" thickBot="1" x14ac:dyDescent="0.35">
      <c r="A18" s="32" t="s">
        <v>32</v>
      </c>
      <c r="B18" s="17" t="s">
        <v>33</v>
      </c>
      <c r="C18" s="17">
        <v>5927.1495999999997</v>
      </c>
      <c r="D18" s="33">
        <v>3.2800000000000003E-2</v>
      </c>
      <c r="E18" s="13"/>
      <c r="F18" s="17" t="s">
        <v>33</v>
      </c>
      <c r="G18" s="17">
        <v>5927.1495999999997</v>
      </c>
      <c r="H18" s="23">
        <v>3.2800000000000003E-2</v>
      </c>
      <c r="I18" s="16" t="s">
        <v>118</v>
      </c>
      <c r="J18" s="5"/>
    </row>
    <row r="19" spans="1:10" s="7" customFormat="1" ht="15.6" x14ac:dyDescent="0.3">
      <c r="A19" s="5"/>
      <c r="B19" s="5"/>
      <c r="C19" s="5"/>
      <c r="D19" s="5"/>
      <c r="E19" s="6"/>
      <c r="F19" s="5"/>
      <c r="G19" s="5"/>
      <c r="H19" s="5"/>
      <c r="I19" s="5"/>
      <c r="J19" s="5"/>
    </row>
    <row r="20" spans="1:10" s="7" customFormat="1" ht="15.6" x14ac:dyDescent="0.3">
      <c r="A20" s="5"/>
      <c r="B20" s="5"/>
      <c r="C20" s="5"/>
      <c r="D20" s="5"/>
      <c r="E20" s="6"/>
      <c r="F20" s="5"/>
      <c r="G20" s="5"/>
      <c r="H20" s="5"/>
      <c r="I20" s="5"/>
      <c r="J20" s="5"/>
    </row>
    <row r="21" spans="1:10" s="7" customFormat="1" ht="15.6" x14ac:dyDescent="0.3">
      <c r="A21" s="5"/>
      <c r="B21" s="5"/>
      <c r="C21" s="5"/>
      <c r="D21" s="5"/>
      <c r="E21" s="6"/>
      <c r="F21" s="5"/>
      <c r="G21" s="5"/>
      <c r="H21" s="5"/>
      <c r="I21" s="5"/>
      <c r="J21" s="5"/>
    </row>
    <row r="22" spans="1:10" s="7" customFormat="1" ht="15.6" x14ac:dyDescent="0.3">
      <c r="A22" s="5"/>
      <c r="B22" s="5"/>
      <c r="C22" s="5"/>
      <c r="D22" s="5"/>
      <c r="E22" s="6"/>
      <c r="F22" s="5"/>
      <c r="G22" s="5"/>
      <c r="H22" s="5"/>
      <c r="I22" s="5"/>
      <c r="J22" s="5"/>
    </row>
    <row r="23" spans="1:10" s="7" customFormat="1" ht="15.6" x14ac:dyDescent="0.3">
      <c r="A23" s="5"/>
      <c r="B23" s="5"/>
      <c r="C23" s="5"/>
      <c r="D23" s="5"/>
      <c r="E23" s="6"/>
      <c r="F23" s="5"/>
      <c r="G23" s="5"/>
      <c r="H23" s="5"/>
      <c r="I23" s="5"/>
      <c r="J23" s="5"/>
    </row>
    <row r="24" spans="1:10" s="7" customFormat="1" ht="15.6" x14ac:dyDescent="0.3">
      <c r="A24" s="5"/>
      <c r="B24" s="5"/>
      <c r="C24" s="5"/>
      <c r="D24" s="5"/>
      <c r="E24" s="6"/>
      <c r="F24" s="5"/>
      <c r="G24" s="5"/>
      <c r="H24" s="5"/>
      <c r="I24" s="5"/>
      <c r="J24" s="5"/>
    </row>
    <row r="25" spans="1:10" s="7" customFormat="1" ht="15.6" x14ac:dyDescent="0.3">
      <c r="A25" s="5"/>
      <c r="B25" s="5"/>
      <c r="C25" s="5"/>
      <c r="D25" s="5"/>
      <c r="E25" s="6"/>
      <c r="F25" s="5"/>
      <c r="G25" s="5"/>
      <c r="H25" s="5"/>
      <c r="I25" s="5"/>
      <c r="J25" s="5"/>
    </row>
    <row r="26" spans="1:10" x14ac:dyDescent="0.3">
      <c r="A26" s="1"/>
      <c r="B26" s="1"/>
      <c r="C26" s="1"/>
      <c r="D26" s="1"/>
      <c r="E26" s="2"/>
      <c r="H26" s="1"/>
      <c r="I26" s="1"/>
      <c r="J26" s="1"/>
    </row>
    <row r="27" spans="1:10" x14ac:dyDescent="0.3">
      <c r="A27" s="1"/>
      <c r="B27" s="1"/>
      <c r="C27" s="1"/>
      <c r="D27" s="1"/>
      <c r="E27" s="2"/>
      <c r="H27" s="1"/>
      <c r="I27" s="1"/>
      <c r="J27" s="1"/>
    </row>
    <row r="28" spans="1:10" x14ac:dyDescent="0.3">
      <c r="A28" s="1"/>
      <c r="B28" s="1"/>
      <c r="C28" s="1"/>
      <c r="D28" s="1"/>
      <c r="E28" s="1"/>
      <c r="H28" s="1"/>
      <c r="I28" s="1"/>
      <c r="J28" s="1"/>
    </row>
    <row r="29" spans="1:10" x14ac:dyDescent="0.3">
      <c r="A29" s="1"/>
      <c r="B29" s="1"/>
      <c r="C29" s="1"/>
      <c r="D29" s="1"/>
      <c r="E29" s="1"/>
      <c r="H29" s="1"/>
      <c r="I29" s="1"/>
      <c r="J29" s="1"/>
    </row>
    <row r="30" spans="1:10" x14ac:dyDescent="0.3">
      <c r="A30" s="1"/>
      <c r="B30" s="1"/>
      <c r="C30" s="1"/>
      <c r="D30" s="1"/>
      <c r="E30" s="1"/>
      <c r="H30" s="1"/>
      <c r="I30" s="1"/>
      <c r="J30" s="1"/>
    </row>
    <row r="31" spans="1:10" x14ac:dyDescent="0.3">
      <c r="A31" s="1"/>
      <c r="B31" s="1"/>
      <c r="C31" s="1"/>
      <c r="D31" s="1"/>
      <c r="E31" s="1"/>
      <c r="H31" s="1"/>
      <c r="I31" s="1"/>
      <c r="J31" s="1"/>
    </row>
  </sheetData>
  <mergeCells count="3">
    <mergeCell ref="F7:H7"/>
    <mergeCell ref="I7:I8"/>
    <mergeCell ref="B7:D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636F-4C81-47B5-8205-087A0E89A349}">
  <dimension ref="A1:Y130"/>
  <sheetViews>
    <sheetView topLeftCell="J87" zoomScale="130" zoomScaleNormal="130" workbookViewId="0">
      <selection activeCell="N92" sqref="N92:N101"/>
    </sheetView>
  </sheetViews>
  <sheetFormatPr defaultRowHeight="14.4" x14ac:dyDescent="0.3"/>
  <cols>
    <col min="1" max="2" width="17.77734375" style="8" bestFit="1" customWidth="1"/>
    <col min="3" max="3" width="59.77734375" style="8" customWidth="1"/>
    <col min="4" max="5" width="17.77734375" style="8" customWidth="1"/>
    <col min="6" max="6" width="59.77734375" style="8" customWidth="1"/>
    <col min="7" max="7" width="7.109375" style="8" bestFit="1" customWidth="1"/>
    <col min="8" max="8" width="15.6640625" style="8" customWidth="1"/>
    <col min="9" max="9" width="55.88671875" bestFit="1" customWidth="1"/>
    <col min="10" max="10" width="11.109375" style="40" bestFit="1" customWidth="1"/>
    <col min="11" max="13" width="12.33203125" style="40" bestFit="1" customWidth="1"/>
    <col min="14" max="14" width="19.88671875" style="40" bestFit="1" customWidth="1"/>
    <col min="15" max="15" width="17.33203125" style="40" bestFit="1" customWidth="1"/>
    <col min="16" max="16" width="23" style="41" bestFit="1" customWidth="1"/>
    <col min="17" max="17" width="17" style="42" bestFit="1" customWidth="1"/>
    <col min="18" max="18" width="19.88671875" style="42" customWidth="1"/>
    <col min="19" max="19" width="12.44140625" style="1" bestFit="1" customWidth="1"/>
    <col min="20" max="21" width="12.44140625" style="1" customWidth="1"/>
    <col min="22" max="22" width="11.109375" style="1" customWidth="1"/>
    <col min="23" max="23" width="45.77734375" style="45" bestFit="1" customWidth="1"/>
  </cols>
  <sheetData>
    <row r="1" spans="1:25" ht="63" customHeight="1" thickBot="1" x14ac:dyDescent="0.35">
      <c r="A1" s="167" t="s">
        <v>125</v>
      </c>
      <c r="B1" s="168"/>
      <c r="C1" s="168"/>
      <c r="D1" s="81"/>
      <c r="E1" s="81"/>
      <c r="F1" s="81"/>
      <c r="G1" s="81"/>
      <c r="H1" s="81"/>
      <c r="I1" s="81"/>
    </row>
    <row r="2" spans="1:25" x14ac:dyDescent="0.3">
      <c r="A2" s="141" t="s">
        <v>42</v>
      </c>
      <c r="B2" s="136">
        <v>2660.19</v>
      </c>
      <c r="C2" s="82"/>
      <c r="D2" s="145"/>
      <c r="E2"/>
      <c r="F2"/>
      <c r="G2"/>
      <c r="H2"/>
    </row>
    <row r="3" spans="1:25" x14ac:dyDescent="0.3">
      <c r="A3" s="37" t="s">
        <v>126</v>
      </c>
      <c r="B3" s="122">
        <v>1566.61</v>
      </c>
      <c r="C3" s="137" t="s">
        <v>131</v>
      </c>
      <c r="D3" s="154">
        <v>3414.95</v>
      </c>
      <c r="E3"/>
      <c r="F3"/>
      <c r="G3"/>
      <c r="H3"/>
    </row>
    <row r="4" spans="1:25" x14ac:dyDescent="0.3">
      <c r="A4" s="37" t="s">
        <v>127</v>
      </c>
      <c r="B4" s="122">
        <v>1866.61</v>
      </c>
      <c r="C4" s="137" t="s">
        <v>130</v>
      </c>
      <c r="D4" s="154">
        <v>3714.95</v>
      </c>
      <c r="E4"/>
      <c r="F4" s="125">
        <f>D4-D3</f>
        <v>300</v>
      </c>
      <c r="G4"/>
      <c r="H4"/>
    </row>
    <row r="5" spans="1:25" ht="16.2" x14ac:dyDescent="0.3">
      <c r="A5" s="37" t="s">
        <v>1</v>
      </c>
      <c r="B5" s="37" t="s">
        <v>128</v>
      </c>
      <c r="C5" s="83" t="s">
        <v>103</v>
      </c>
      <c r="D5" s="140"/>
      <c r="E5"/>
      <c r="F5"/>
      <c r="G5"/>
      <c r="H5"/>
    </row>
    <row r="6" spans="1:25" x14ac:dyDescent="0.3">
      <c r="A6" s="37" t="s">
        <v>45</v>
      </c>
      <c r="B6" s="37" t="s">
        <v>6</v>
      </c>
      <c r="C6" s="83"/>
      <c r="D6" s="140"/>
      <c r="E6"/>
      <c r="F6"/>
      <c r="G6"/>
      <c r="H6"/>
    </row>
    <row r="7" spans="1:25" x14ac:dyDescent="0.3">
      <c r="A7" s="37" t="s">
        <v>46</v>
      </c>
      <c r="B7" s="37">
        <v>250</v>
      </c>
      <c r="C7" s="83"/>
      <c r="D7" s="140"/>
      <c r="E7"/>
      <c r="F7"/>
      <c r="G7"/>
      <c r="H7"/>
    </row>
    <row r="8" spans="1:25" x14ac:dyDescent="0.3">
      <c r="A8" s="37" t="s">
        <v>8</v>
      </c>
      <c r="B8" s="38" t="s">
        <v>129</v>
      </c>
      <c r="C8" s="37" t="s">
        <v>48</v>
      </c>
      <c r="D8" s="144"/>
      <c r="I8" s="8"/>
      <c r="K8" s="1"/>
      <c r="L8" s="1"/>
      <c r="M8" s="1"/>
      <c r="N8" s="1"/>
      <c r="O8" s="1"/>
      <c r="P8" s="42"/>
      <c r="W8" s="35"/>
      <c r="X8" s="8"/>
      <c r="Y8" s="8"/>
    </row>
    <row r="9" spans="1:25" x14ac:dyDescent="0.3">
      <c r="A9" s="37"/>
      <c r="B9" s="39">
        <v>5.5E-2</v>
      </c>
      <c r="C9" s="83" t="s">
        <v>49</v>
      </c>
      <c r="D9" s="140"/>
      <c r="E9"/>
      <c r="F9"/>
      <c r="G9"/>
      <c r="H9"/>
      <c r="O9" s="1"/>
      <c r="P9" s="42"/>
      <c r="W9" s="35"/>
      <c r="X9" s="8"/>
      <c r="Y9" s="8"/>
    </row>
    <row r="10" spans="1:25" x14ac:dyDescent="0.3">
      <c r="A10" s="37" t="s">
        <v>51</v>
      </c>
      <c r="B10" s="39">
        <v>1.6E-2</v>
      </c>
      <c r="C10" s="83"/>
      <c r="D10" s="140"/>
      <c r="E10"/>
      <c r="F10"/>
      <c r="G10"/>
      <c r="H10"/>
      <c r="O10" s="1"/>
      <c r="P10" s="42"/>
      <c r="W10" s="35"/>
      <c r="X10" s="8"/>
      <c r="Y10" s="8"/>
    </row>
    <row r="11" spans="1:25" x14ac:dyDescent="0.3">
      <c r="A11" s="37" t="s">
        <v>136</v>
      </c>
      <c r="B11" s="39">
        <v>12</v>
      </c>
      <c r="C11" s="83"/>
      <c r="D11" s="140"/>
      <c r="E11"/>
      <c r="F11"/>
      <c r="G11"/>
      <c r="H11"/>
      <c r="O11" s="1"/>
      <c r="P11" s="42"/>
      <c r="W11" s="35"/>
      <c r="X11" s="8"/>
      <c r="Y11" s="8"/>
    </row>
    <row r="12" spans="1:25" x14ac:dyDescent="0.3">
      <c r="A12" s="37" t="s">
        <v>137</v>
      </c>
      <c r="B12" s="39">
        <v>12</v>
      </c>
      <c r="C12" s="83"/>
      <c r="D12" s="140"/>
      <c r="E12"/>
      <c r="F12"/>
      <c r="G12"/>
      <c r="H12"/>
      <c r="O12" s="1"/>
      <c r="P12" s="42"/>
      <c r="W12" s="35"/>
      <c r="X12" s="8"/>
      <c r="Y12" s="8"/>
    </row>
    <row r="13" spans="1:25" ht="15" thickBot="1" x14ac:dyDescent="0.35">
      <c r="A13" s="142" t="s">
        <v>138</v>
      </c>
      <c r="B13" s="146">
        <v>12</v>
      </c>
      <c r="C13" s="138"/>
      <c r="D13" s="143"/>
      <c r="E13"/>
      <c r="F13"/>
      <c r="G13"/>
      <c r="H13"/>
      <c r="O13" s="1"/>
      <c r="P13" s="42"/>
      <c r="W13" s="35"/>
      <c r="X13" s="8"/>
      <c r="Y13" s="8"/>
    </row>
    <row r="14" spans="1:25" ht="15" thickBot="1" x14ac:dyDescent="0.35">
      <c r="A14" s="184" t="s">
        <v>92</v>
      </c>
      <c r="B14" s="185"/>
      <c r="C14" s="186"/>
      <c r="D14" s="184" t="s">
        <v>94</v>
      </c>
      <c r="E14" s="170"/>
      <c r="F14" s="171"/>
      <c r="G14"/>
      <c r="H14"/>
      <c r="O14" s="1"/>
      <c r="P14" s="42"/>
      <c r="W14" s="35"/>
      <c r="X14" s="8"/>
      <c r="Y14" s="8"/>
    </row>
    <row r="15" spans="1:25" x14ac:dyDescent="0.3">
      <c r="A15" s="92" t="s">
        <v>50</v>
      </c>
      <c r="B15" s="84">
        <f>(B13+B12)*(B10)*(B7)</f>
        <v>96</v>
      </c>
      <c r="C15" s="84" t="s">
        <v>61</v>
      </c>
      <c r="D15" s="175"/>
      <c r="E15" s="176"/>
      <c r="F15" s="177"/>
      <c r="I15" s="8"/>
      <c r="J15" s="1"/>
      <c r="K15" s="1"/>
      <c r="L15" s="1"/>
      <c r="M15" s="1"/>
      <c r="N15" s="1"/>
      <c r="O15" s="1"/>
      <c r="P15" s="42"/>
      <c r="W15" s="35"/>
      <c r="X15" s="8"/>
      <c r="Y15" s="8"/>
    </row>
    <row r="16" spans="1:25" x14ac:dyDescent="0.3">
      <c r="A16" s="92" t="s">
        <v>53</v>
      </c>
      <c r="B16" s="84" t="s">
        <v>54</v>
      </c>
      <c r="C16" s="84" t="s">
        <v>58</v>
      </c>
      <c r="D16" s="178"/>
      <c r="E16" s="179"/>
      <c r="F16" s="180"/>
      <c r="I16" s="8"/>
      <c r="J16" s="1"/>
      <c r="K16" s="1"/>
      <c r="L16" s="1"/>
      <c r="M16" s="1"/>
      <c r="N16" s="1"/>
      <c r="O16" s="1"/>
      <c r="P16" s="42"/>
      <c r="W16" s="35"/>
      <c r="X16" s="8"/>
      <c r="Y16" s="8"/>
    </row>
    <row r="17" spans="1:25" x14ac:dyDescent="0.3">
      <c r="A17" s="92" t="s">
        <v>55</v>
      </c>
      <c r="B17" s="84">
        <f>(B13+B12)*(B10)*(B7)</f>
        <v>96</v>
      </c>
      <c r="C17" s="84" t="s">
        <v>141</v>
      </c>
      <c r="D17" s="178"/>
      <c r="E17" s="179"/>
      <c r="F17" s="180"/>
      <c r="I17" s="8"/>
      <c r="J17" s="1"/>
      <c r="K17" s="1"/>
      <c r="L17" s="1"/>
      <c r="M17" s="1"/>
      <c r="N17" s="1"/>
      <c r="O17" s="1"/>
      <c r="P17" s="42"/>
      <c r="W17" s="35"/>
      <c r="X17" s="8"/>
      <c r="Y17" s="8"/>
    </row>
    <row r="18" spans="1:25" x14ac:dyDescent="0.3">
      <c r="A18" s="92" t="s">
        <v>56</v>
      </c>
      <c r="B18" s="84">
        <f>(B13+B12+B11)*(B9-B10)*(B7)</f>
        <v>351</v>
      </c>
      <c r="C18" s="84" t="s">
        <v>142</v>
      </c>
      <c r="D18" s="178"/>
      <c r="E18" s="179"/>
      <c r="F18" s="180"/>
      <c r="I18" s="8"/>
      <c r="J18" s="1"/>
      <c r="K18" s="1"/>
      <c r="L18" s="1"/>
      <c r="M18" s="1"/>
      <c r="N18" s="1"/>
      <c r="O18" s="1"/>
      <c r="P18" s="42"/>
      <c r="W18" s="35"/>
      <c r="X18" s="8"/>
      <c r="Y18" s="8"/>
    </row>
    <row r="19" spans="1:25" x14ac:dyDescent="0.3">
      <c r="A19" s="92" t="s">
        <v>53</v>
      </c>
      <c r="B19" s="84">
        <f>B17+B18</f>
        <v>447</v>
      </c>
      <c r="C19" s="84"/>
      <c r="D19" s="178"/>
      <c r="E19" s="179"/>
      <c r="F19" s="180"/>
      <c r="I19" s="8"/>
      <c r="J19" s="1"/>
      <c r="K19" s="1"/>
      <c r="L19" s="1"/>
      <c r="M19" s="1"/>
      <c r="N19" s="1"/>
      <c r="O19" s="1"/>
      <c r="P19" s="42"/>
      <c r="W19" s="35"/>
      <c r="X19" s="8"/>
      <c r="Y19" s="8"/>
    </row>
    <row r="20" spans="1:25" x14ac:dyDescent="0.3">
      <c r="A20" s="92"/>
      <c r="B20" s="84"/>
      <c r="C20" s="152"/>
      <c r="D20" s="178"/>
      <c r="E20" s="179"/>
      <c r="F20" s="180"/>
      <c r="I20" s="8"/>
      <c r="J20" s="1"/>
      <c r="K20" s="1"/>
      <c r="L20" s="1"/>
      <c r="M20" s="1"/>
      <c r="N20" s="1"/>
      <c r="O20" s="1"/>
      <c r="P20" s="42"/>
      <c r="W20" s="35"/>
      <c r="X20" s="8"/>
      <c r="Y20" s="8"/>
    </row>
    <row r="21" spans="1:25" x14ac:dyDescent="0.3">
      <c r="A21" s="92"/>
      <c r="B21" s="84"/>
      <c r="C21" s="84"/>
      <c r="D21" s="178"/>
      <c r="E21" s="179"/>
      <c r="F21" s="180"/>
      <c r="I21" s="8"/>
      <c r="J21" s="1"/>
      <c r="K21" s="1"/>
      <c r="L21" s="1"/>
      <c r="M21" s="1"/>
      <c r="N21" s="1"/>
      <c r="O21" s="1"/>
      <c r="P21" s="42"/>
      <c r="W21" s="35"/>
      <c r="X21" s="8"/>
      <c r="Y21" s="8"/>
    </row>
    <row r="22" spans="1:25" x14ac:dyDescent="0.3">
      <c r="A22" s="98"/>
      <c r="B22" s="99"/>
      <c r="C22" s="99"/>
      <c r="D22" s="181"/>
      <c r="E22" s="182"/>
      <c r="F22" s="183"/>
      <c r="I22" s="8"/>
      <c r="J22" s="1"/>
      <c r="K22" s="1"/>
      <c r="L22" s="1"/>
      <c r="M22" s="1"/>
      <c r="N22" s="1"/>
      <c r="O22" s="1"/>
      <c r="P22" s="42"/>
      <c r="W22" s="35"/>
      <c r="X22" s="8"/>
      <c r="Y22" s="8"/>
    </row>
    <row r="23" spans="1:25" x14ac:dyDescent="0.3">
      <c r="A23" s="92" t="s">
        <v>88</v>
      </c>
      <c r="B23" s="123">
        <f>B24-B15</f>
        <v>1323.61</v>
      </c>
      <c r="C23" s="84" t="s">
        <v>89</v>
      </c>
      <c r="D23" s="92" t="s">
        <v>90</v>
      </c>
      <c r="E23" s="123">
        <f>D3</f>
        <v>3414.95</v>
      </c>
      <c r="F23" s="84" t="s">
        <v>98</v>
      </c>
      <c r="I23" s="8"/>
      <c r="J23" s="1"/>
      <c r="K23" s="1"/>
      <c r="L23" s="1"/>
      <c r="M23" s="1"/>
      <c r="N23" s="1"/>
      <c r="O23" s="1"/>
      <c r="P23" s="42"/>
      <c r="W23" s="35"/>
      <c r="X23" s="8"/>
      <c r="Y23" s="8"/>
    </row>
    <row r="24" spans="1:25" x14ac:dyDescent="0.3">
      <c r="A24" s="92"/>
      <c r="B24" s="123">
        <f>B30-B19</f>
        <v>1419.61</v>
      </c>
      <c r="C24" s="84" t="s">
        <v>96</v>
      </c>
      <c r="D24" s="92"/>
      <c r="E24" s="123">
        <f>E23+((B9-0.04)*(B11+B12+B13)*(B7))</f>
        <v>3549.95</v>
      </c>
      <c r="F24" s="97">
        <v>0.04</v>
      </c>
      <c r="I24" s="8"/>
      <c r="J24" s="1"/>
      <c r="K24" s="1"/>
      <c r="L24" s="1"/>
      <c r="M24" s="1"/>
      <c r="N24" s="1"/>
      <c r="O24" s="1"/>
      <c r="P24" s="42"/>
      <c r="W24" s="35"/>
      <c r="X24" s="8"/>
      <c r="Y24" s="8"/>
    </row>
    <row r="25" spans="1:25" x14ac:dyDescent="0.3">
      <c r="A25" s="92"/>
      <c r="B25" s="123">
        <f>B24+(B15/2)</f>
        <v>1467.61</v>
      </c>
      <c r="C25" s="96">
        <v>8.0000000000000002E-3</v>
      </c>
      <c r="D25" s="92"/>
      <c r="E25" s="123"/>
      <c r="F25" s="96"/>
      <c r="I25" s="8"/>
      <c r="J25" s="1"/>
      <c r="K25" s="1"/>
      <c r="L25" s="1"/>
      <c r="M25" s="1"/>
      <c r="N25" s="1"/>
      <c r="O25" s="1"/>
      <c r="P25" s="42"/>
      <c r="W25" s="35"/>
      <c r="X25" s="8"/>
      <c r="Y25" s="8"/>
    </row>
    <row r="26" spans="1:25" x14ac:dyDescent="0.3">
      <c r="A26" s="92"/>
      <c r="B26" s="123">
        <f>B25+(B17/2)</f>
        <v>1515.61</v>
      </c>
      <c r="C26" s="96">
        <v>1.6E-2</v>
      </c>
      <c r="D26" s="92"/>
      <c r="E26" s="123">
        <f>E23+((B9-0.03)*(B11+B12+B13)*(B7))</f>
        <v>3639.95</v>
      </c>
      <c r="F26" s="96">
        <v>0.03</v>
      </c>
      <c r="I26" s="8"/>
      <c r="J26" s="1"/>
      <c r="K26" s="1"/>
      <c r="L26" s="1"/>
      <c r="M26" s="1"/>
      <c r="N26" s="1"/>
      <c r="O26" s="1"/>
      <c r="P26" s="42"/>
      <c r="W26" s="35"/>
      <c r="X26" s="8"/>
      <c r="Y26" s="8"/>
    </row>
    <row r="27" spans="1:25" x14ac:dyDescent="0.3">
      <c r="A27" s="92"/>
      <c r="B27" s="123">
        <f>((B26)+((0.03-B10)*(B13+B12+B11)*(B7)))</f>
        <v>1641.61</v>
      </c>
      <c r="C27" s="96">
        <v>0.03</v>
      </c>
      <c r="D27" s="92"/>
      <c r="E27" s="123">
        <f>E23+((B9-B10)*(B11+B12+B13)*(B7))</f>
        <v>3765.95</v>
      </c>
      <c r="F27" s="96">
        <v>1.6E-2</v>
      </c>
      <c r="I27" s="8"/>
      <c r="J27" s="1"/>
      <c r="K27" s="1"/>
      <c r="L27" s="1"/>
      <c r="M27" s="1"/>
      <c r="N27" s="1"/>
      <c r="O27" s="1"/>
      <c r="P27" s="42"/>
      <c r="W27" s="35"/>
      <c r="X27" s="8"/>
      <c r="Y27" s="8"/>
    </row>
    <row r="28" spans="1:25" x14ac:dyDescent="0.3">
      <c r="A28" s="92"/>
      <c r="B28" s="123"/>
      <c r="C28" s="84"/>
      <c r="D28" s="92"/>
      <c r="E28" s="123">
        <f>E27+((B10-0.008)*(B13+B12)*(B7))</f>
        <v>3813.95</v>
      </c>
      <c r="F28" s="84">
        <v>0.8</v>
      </c>
      <c r="G28" s="100"/>
      <c r="H28" s="100"/>
      <c r="I28" s="8"/>
      <c r="J28" s="1"/>
      <c r="K28" s="1"/>
      <c r="L28" s="1"/>
      <c r="M28" s="1"/>
      <c r="N28" s="1"/>
      <c r="O28" s="1"/>
      <c r="P28" s="42"/>
      <c r="W28" s="35"/>
      <c r="X28" s="8"/>
      <c r="Y28" s="8"/>
    </row>
    <row r="29" spans="1:25" x14ac:dyDescent="0.3">
      <c r="A29" s="92"/>
      <c r="B29" s="123">
        <f>B26+((0.04-B10)*(B13+B12+B11)*(B7))</f>
        <v>1731.61</v>
      </c>
      <c r="C29" s="97">
        <v>0.04</v>
      </c>
      <c r="D29" s="92"/>
      <c r="E29" s="123">
        <f>E27+((B10)*(B13+B12)*(B7))</f>
        <v>3861.95</v>
      </c>
      <c r="F29" s="97" t="s">
        <v>99</v>
      </c>
      <c r="G29" s="100">
        <f>E29-E28</f>
        <v>48</v>
      </c>
      <c r="H29" s="100" t="s">
        <v>100</v>
      </c>
      <c r="I29" s="8"/>
      <c r="J29" s="1"/>
      <c r="K29" s="1"/>
      <c r="L29" s="1"/>
      <c r="M29" s="1"/>
      <c r="N29" s="1"/>
      <c r="O29" s="1"/>
      <c r="P29" s="42"/>
      <c r="W29" s="35"/>
      <c r="X29" s="8"/>
      <c r="Y29" s="8"/>
    </row>
    <row r="30" spans="1:25" ht="15" thickBot="1" x14ac:dyDescent="0.35">
      <c r="A30" s="101" t="s">
        <v>132</v>
      </c>
      <c r="B30" s="124">
        <f>B4</f>
        <v>1866.61</v>
      </c>
      <c r="C30" s="103" t="s">
        <v>97</v>
      </c>
      <c r="D30" s="101" t="s">
        <v>88</v>
      </c>
      <c r="E30" s="124">
        <f>E29+B17</f>
        <v>3957.95</v>
      </c>
      <c r="F30" s="103" t="s">
        <v>84</v>
      </c>
      <c r="G30" s="100">
        <f>E30-E23</f>
        <v>543</v>
      </c>
      <c r="H30" s="8" t="s">
        <v>100</v>
      </c>
      <c r="I30" s="8"/>
      <c r="J30" s="1"/>
      <c r="K30" s="1"/>
      <c r="L30" s="1"/>
      <c r="M30" s="1"/>
      <c r="N30" s="1"/>
      <c r="O30" s="1"/>
      <c r="P30" s="42"/>
      <c r="W30" s="35"/>
      <c r="X30" s="8"/>
      <c r="Y30" s="8"/>
    </row>
    <row r="31" spans="1:25" ht="15" thickBot="1" x14ac:dyDescent="0.35">
      <c r="A31" s="172" t="s">
        <v>93</v>
      </c>
      <c r="B31" s="173"/>
      <c r="C31" s="174"/>
      <c r="D31" s="172" t="s">
        <v>95</v>
      </c>
      <c r="E31" s="173"/>
      <c r="F31" s="174"/>
      <c r="I31" s="8"/>
      <c r="J31" s="1"/>
      <c r="K31" s="1"/>
      <c r="L31" s="1"/>
      <c r="M31" s="1"/>
      <c r="N31" s="1"/>
      <c r="O31" s="1"/>
      <c r="P31" s="42"/>
      <c r="W31" s="35"/>
      <c r="X31" s="8"/>
      <c r="Y31" s="8"/>
    </row>
    <row r="32" spans="1:25" x14ac:dyDescent="0.3">
      <c r="A32" s="104" t="s">
        <v>50</v>
      </c>
      <c r="B32" s="89">
        <f>(B11)*(B10)*(B7)</f>
        <v>48</v>
      </c>
      <c r="C32" s="150" t="s">
        <v>139</v>
      </c>
      <c r="D32" s="175"/>
      <c r="E32" s="176"/>
      <c r="F32" s="177"/>
      <c r="I32" s="8"/>
      <c r="J32" s="1"/>
      <c r="K32" s="1"/>
      <c r="L32" s="1"/>
      <c r="M32" s="1"/>
      <c r="N32" s="1"/>
      <c r="O32" s="1"/>
      <c r="P32" s="42"/>
      <c r="W32" s="35"/>
      <c r="X32" s="8"/>
      <c r="Y32" s="8"/>
    </row>
    <row r="33" spans="1:25" x14ac:dyDescent="0.3">
      <c r="A33" s="92" t="s">
        <v>53</v>
      </c>
      <c r="B33" s="84" t="s">
        <v>54</v>
      </c>
      <c r="C33" s="150" t="s">
        <v>58</v>
      </c>
      <c r="D33" s="178"/>
      <c r="E33" s="179"/>
      <c r="F33" s="180"/>
      <c r="I33" s="8"/>
      <c r="J33" s="1"/>
      <c r="K33" s="1"/>
      <c r="L33" s="1"/>
      <c r="M33" s="1"/>
      <c r="N33" s="1"/>
      <c r="O33" s="1"/>
      <c r="P33" s="42"/>
      <c r="W33" s="35"/>
      <c r="X33" s="8"/>
      <c r="Y33" s="8"/>
    </row>
    <row r="34" spans="1:25" x14ac:dyDescent="0.3">
      <c r="A34" s="92" t="s">
        <v>55</v>
      </c>
      <c r="B34" s="84">
        <f>(B11)*(B10)*(B7)</f>
        <v>48</v>
      </c>
      <c r="C34" s="150" t="s">
        <v>144</v>
      </c>
      <c r="D34" s="178"/>
      <c r="E34" s="179"/>
      <c r="F34" s="180"/>
      <c r="I34" s="8"/>
      <c r="J34" s="1"/>
      <c r="K34" s="1"/>
      <c r="L34" s="1"/>
      <c r="M34" s="1"/>
      <c r="N34" s="1"/>
      <c r="O34" s="1"/>
      <c r="P34" s="42"/>
      <c r="W34" s="35"/>
      <c r="X34" s="8"/>
      <c r="Y34" s="8"/>
    </row>
    <row r="35" spans="1:25" x14ac:dyDescent="0.3">
      <c r="A35" s="92" t="s">
        <v>56</v>
      </c>
      <c r="B35" s="84">
        <f>(B11+B12+B13)*(B9-B10)*(B7)</f>
        <v>351</v>
      </c>
      <c r="C35" s="150" t="s">
        <v>145</v>
      </c>
      <c r="D35" s="178"/>
      <c r="E35" s="179"/>
      <c r="F35" s="180"/>
      <c r="I35" s="8"/>
      <c r="J35" s="1"/>
      <c r="K35" s="1"/>
      <c r="L35" s="1"/>
      <c r="M35" s="1"/>
      <c r="N35" s="1"/>
      <c r="O35" s="1"/>
      <c r="P35" s="42"/>
      <c r="W35" s="35"/>
      <c r="X35" s="8"/>
      <c r="Y35" s="8"/>
    </row>
    <row r="36" spans="1:25" ht="15" thickBot="1" x14ac:dyDescent="0.35">
      <c r="A36" s="92" t="s">
        <v>53</v>
      </c>
      <c r="B36" s="84">
        <f>B34+B35</f>
        <v>399</v>
      </c>
      <c r="C36" s="151"/>
      <c r="D36" s="178"/>
      <c r="E36" s="179"/>
      <c r="F36" s="180"/>
      <c r="I36" s="8"/>
      <c r="J36" s="1"/>
      <c r="K36" s="1"/>
      <c r="L36" s="1"/>
      <c r="M36" s="1"/>
      <c r="N36" s="1"/>
      <c r="O36" s="1"/>
      <c r="P36" s="42"/>
      <c r="W36" s="35"/>
      <c r="X36" s="8"/>
      <c r="Y36" s="8"/>
    </row>
    <row r="37" spans="1:25" ht="15" thickBot="1" x14ac:dyDescent="0.35">
      <c r="A37" s="106"/>
      <c r="B37" s="107"/>
      <c r="C37" s="107"/>
      <c r="D37" s="178"/>
      <c r="E37" s="179"/>
      <c r="F37" s="180"/>
      <c r="I37" s="8"/>
      <c r="J37" s="1"/>
      <c r="K37" s="1"/>
      <c r="L37" s="1"/>
      <c r="M37" s="1"/>
      <c r="N37" s="1"/>
      <c r="O37" s="1"/>
      <c r="P37" s="42"/>
      <c r="W37" s="35"/>
      <c r="X37" s="8"/>
      <c r="Y37" s="8"/>
    </row>
    <row r="38" spans="1:25" x14ac:dyDescent="0.3">
      <c r="A38" s="104" t="s">
        <v>88</v>
      </c>
      <c r="B38" s="134">
        <f>B40-B32-B34</f>
        <v>1419.61</v>
      </c>
      <c r="C38" s="89" t="s">
        <v>89</v>
      </c>
      <c r="D38" s="86" t="s">
        <v>90</v>
      </c>
      <c r="E38" s="134">
        <f>E23</f>
        <v>3414.95</v>
      </c>
      <c r="F38" s="89" t="s">
        <v>98</v>
      </c>
      <c r="I38" s="8"/>
      <c r="J38" s="1"/>
      <c r="K38" s="1"/>
      <c r="L38" s="1"/>
      <c r="M38" s="1"/>
      <c r="N38" s="1"/>
      <c r="O38" s="1"/>
      <c r="P38" s="42"/>
      <c r="W38" s="35"/>
      <c r="X38" s="8"/>
      <c r="Y38" s="8"/>
    </row>
    <row r="39" spans="1:25" x14ac:dyDescent="0.3">
      <c r="A39" s="92" t="s">
        <v>87</v>
      </c>
      <c r="B39" s="123">
        <f>B40-B32</f>
        <v>1467.61</v>
      </c>
      <c r="C39" s="84" t="s">
        <v>91</v>
      </c>
      <c r="D39" s="87"/>
      <c r="E39" s="123">
        <f>E38+((B9-0.04)*(B11+B12+B13)*(B7))</f>
        <v>3549.95</v>
      </c>
      <c r="F39" s="97">
        <v>0.04</v>
      </c>
      <c r="I39" s="8"/>
      <c r="J39" s="1"/>
      <c r="K39" s="1"/>
      <c r="L39" s="1"/>
      <c r="M39" s="1"/>
      <c r="N39" s="1"/>
      <c r="O39" s="1"/>
      <c r="P39" s="42"/>
      <c r="W39" s="35"/>
      <c r="X39" s="8"/>
      <c r="Y39" s="8"/>
    </row>
    <row r="40" spans="1:25" x14ac:dyDescent="0.3">
      <c r="A40" s="92"/>
      <c r="B40" s="123">
        <f>B26</f>
        <v>1515.61</v>
      </c>
      <c r="C40" s="96">
        <v>1.6E-2</v>
      </c>
      <c r="D40" s="87"/>
      <c r="E40" s="123">
        <f>E38+((B9-0.03)*(B11+B12+B13)*(B7))</f>
        <v>3639.95</v>
      </c>
      <c r="F40" s="96">
        <v>0.03</v>
      </c>
      <c r="I40" s="8"/>
      <c r="J40" s="1"/>
      <c r="K40" s="1"/>
      <c r="L40" s="1"/>
      <c r="M40" s="1"/>
      <c r="N40" s="1"/>
      <c r="O40" s="1"/>
      <c r="P40" s="42"/>
      <c r="W40" s="35"/>
      <c r="X40" s="8"/>
      <c r="Y40" s="8"/>
    </row>
    <row r="41" spans="1:25" x14ac:dyDescent="0.3">
      <c r="A41" s="92"/>
      <c r="B41" s="123">
        <f>B40+((0.03-B10)*(B11+B12+B13)*(B7))</f>
        <v>1641.61</v>
      </c>
      <c r="C41" s="96">
        <v>0.03</v>
      </c>
      <c r="D41" s="87"/>
      <c r="E41" s="123">
        <f>E38+((B9-B10)*(B11+B12+B13)*(B7))</f>
        <v>3765.95</v>
      </c>
      <c r="F41" s="96">
        <v>1.6E-2</v>
      </c>
      <c r="I41" s="8"/>
      <c r="J41" s="1"/>
      <c r="K41" s="1"/>
      <c r="L41" s="1"/>
      <c r="M41" s="1"/>
      <c r="N41" s="1"/>
      <c r="O41" s="1"/>
      <c r="P41" s="42"/>
      <c r="W41" s="35"/>
      <c r="X41" s="8"/>
      <c r="Y41" s="8"/>
    </row>
    <row r="42" spans="1:25" x14ac:dyDescent="0.3">
      <c r="A42" s="92"/>
      <c r="B42" s="123">
        <f>B40+((0.04-B10)*(B11+B12+B13)*(B7))</f>
        <v>1731.61</v>
      </c>
      <c r="C42" s="96">
        <v>0.04</v>
      </c>
      <c r="D42" s="87"/>
      <c r="E42" s="123">
        <f>E41+((B10)*(B11)*(B7))</f>
        <v>3813.95</v>
      </c>
      <c r="F42" s="96" t="s">
        <v>99</v>
      </c>
      <c r="I42" s="8"/>
      <c r="J42" s="1"/>
      <c r="K42" s="1"/>
      <c r="L42" s="1"/>
      <c r="M42" s="1"/>
      <c r="N42" s="1"/>
      <c r="O42" s="1"/>
      <c r="P42" s="42"/>
      <c r="W42" s="35"/>
      <c r="X42" s="8"/>
      <c r="Y42" s="8"/>
    </row>
    <row r="43" spans="1:25" ht="15" thickBot="1" x14ac:dyDescent="0.35">
      <c r="A43" s="93" t="s">
        <v>90</v>
      </c>
      <c r="B43" s="135">
        <f>B39+B36</f>
        <v>1866.61</v>
      </c>
      <c r="C43" s="105">
        <v>5.6000000000000001E-2</v>
      </c>
      <c r="D43" s="88"/>
      <c r="E43" s="135">
        <f>E41+((B10+B10)*(B11)*(B7))</f>
        <v>3861.95</v>
      </c>
      <c r="F43" s="85" t="s">
        <v>84</v>
      </c>
      <c r="I43" s="8"/>
      <c r="J43" s="1"/>
      <c r="K43" s="1"/>
      <c r="L43" s="1"/>
      <c r="M43" s="1"/>
      <c r="N43" s="1"/>
      <c r="O43" s="1"/>
      <c r="P43" s="42"/>
      <c r="W43" s="35"/>
      <c r="X43" s="8"/>
      <c r="Y43" s="8"/>
    </row>
    <row r="44" spans="1:25" x14ac:dyDescent="0.3">
      <c r="I44" s="8"/>
      <c r="J44" s="1"/>
      <c r="K44" s="1"/>
      <c r="L44" s="1"/>
      <c r="M44" s="1"/>
      <c r="N44" s="1"/>
      <c r="O44" s="1"/>
      <c r="P44" s="42"/>
      <c r="W44" s="35"/>
      <c r="X44" s="8"/>
      <c r="Y44" s="8"/>
    </row>
    <row r="45" spans="1:25" x14ac:dyDescent="0.3">
      <c r="I45" s="8"/>
      <c r="J45" s="1"/>
      <c r="K45" s="1"/>
      <c r="L45" s="1"/>
      <c r="M45" s="1"/>
      <c r="N45" s="1"/>
      <c r="O45" s="1"/>
      <c r="P45" s="42"/>
      <c r="W45" s="35"/>
      <c r="X45" s="8"/>
      <c r="Y45" s="8"/>
    </row>
    <row r="46" spans="1:25" x14ac:dyDescent="0.3">
      <c r="I46" s="8"/>
      <c r="J46" s="1"/>
      <c r="K46" s="1"/>
      <c r="L46" s="1"/>
      <c r="M46" s="1"/>
      <c r="N46" s="1"/>
      <c r="O46" s="1"/>
      <c r="P46" s="42"/>
      <c r="W46" s="35"/>
      <c r="X46" s="8"/>
      <c r="Y46" s="8"/>
    </row>
    <row r="47" spans="1:25" x14ac:dyDescent="0.3">
      <c r="I47" s="8"/>
      <c r="J47" s="1"/>
      <c r="K47" s="1"/>
      <c r="L47" s="1"/>
      <c r="M47" s="1"/>
      <c r="N47" s="1"/>
      <c r="O47" s="1"/>
      <c r="P47" s="42"/>
      <c r="W47" s="35"/>
      <c r="X47" s="8"/>
      <c r="Y47" s="8"/>
    </row>
    <row r="48" spans="1:25" x14ac:dyDescent="0.3">
      <c r="I48" s="8"/>
      <c r="J48" s="1"/>
      <c r="K48" s="1"/>
      <c r="L48" s="1"/>
      <c r="M48" s="1"/>
      <c r="N48" s="1"/>
      <c r="O48" s="1"/>
      <c r="P48" s="42"/>
      <c r="W48" s="35"/>
      <c r="X48" s="8"/>
      <c r="Y48" s="8"/>
    </row>
    <row r="49" spans="1:25" x14ac:dyDescent="0.3">
      <c r="I49" s="8"/>
      <c r="J49" s="1"/>
      <c r="K49" s="1"/>
      <c r="L49" s="1"/>
      <c r="M49" s="1"/>
      <c r="N49" s="1"/>
      <c r="O49" s="1"/>
      <c r="P49" s="42"/>
      <c r="W49" s="35"/>
      <c r="X49" s="8"/>
      <c r="Y49" s="8"/>
    </row>
    <row r="50" spans="1:25" x14ac:dyDescent="0.3">
      <c r="I50" s="8"/>
      <c r="J50" s="1"/>
      <c r="K50" s="1"/>
      <c r="L50" s="1"/>
      <c r="M50" s="1"/>
      <c r="N50" s="1"/>
      <c r="O50" s="1"/>
      <c r="P50" s="42"/>
      <c r="W50" s="35"/>
      <c r="X50" s="8"/>
      <c r="Y50" s="8"/>
    </row>
    <row r="51" spans="1:25" ht="15" thickBot="1" x14ac:dyDescent="0.35">
      <c r="I51" s="8"/>
      <c r="J51" s="1"/>
      <c r="K51" s="1"/>
      <c r="L51" s="1"/>
      <c r="M51" s="1"/>
      <c r="N51" s="1"/>
      <c r="O51" s="1"/>
      <c r="P51" s="42"/>
      <c r="W51" s="35"/>
      <c r="X51" s="8"/>
      <c r="Y51" s="8"/>
    </row>
    <row r="52" spans="1:25" x14ac:dyDescent="0.3">
      <c r="I52" s="63"/>
      <c r="J52" s="64"/>
      <c r="K52" s="64"/>
      <c r="L52" s="64"/>
      <c r="M52" s="64"/>
      <c r="N52" s="64"/>
      <c r="O52" s="64"/>
      <c r="P52" s="65"/>
      <c r="Q52" s="65"/>
      <c r="R52" s="65"/>
      <c r="S52" s="64"/>
      <c r="T52" s="64"/>
      <c r="U52" s="64"/>
      <c r="V52" s="64"/>
      <c r="W52" s="66"/>
      <c r="X52" s="8"/>
      <c r="Y52" s="8"/>
    </row>
    <row r="53" spans="1:25" x14ac:dyDescent="0.3">
      <c r="A53" s="35"/>
      <c r="I53" s="67"/>
      <c r="J53" s="165" t="s">
        <v>72</v>
      </c>
      <c r="K53" s="165"/>
      <c r="L53" s="165"/>
      <c r="M53" s="165"/>
      <c r="N53" s="165"/>
      <c r="O53" s="165"/>
      <c r="P53" s="49"/>
      <c r="Q53" s="164" t="s">
        <v>71</v>
      </c>
      <c r="R53" s="164"/>
      <c r="S53" s="164"/>
      <c r="T53" s="164"/>
      <c r="U53" s="164"/>
      <c r="V53" s="164"/>
      <c r="W53" s="68"/>
      <c r="X53" s="8"/>
      <c r="Y53" s="8"/>
    </row>
    <row r="54" spans="1:25" x14ac:dyDescent="0.3">
      <c r="I54" s="67"/>
      <c r="J54" s="48"/>
      <c r="K54" s="48"/>
      <c r="L54" s="48"/>
      <c r="M54" s="48"/>
      <c r="N54" s="48"/>
      <c r="O54" s="48"/>
      <c r="P54" s="49"/>
      <c r="Q54" s="49"/>
      <c r="R54" s="49"/>
      <c r="S54" s="48"/>
      <c r="T54" s="48"/>
      <c r="U54" s="48"/>
      <c r="V54" s="48"/>
      <c r="W54" s="68"/>
      <c r="X54" s="8"/>
      <c r="Y54" s="8"/>
    </row>
    <row r="55" spans="1:25" x14ac:dyDescent="0.3">
      <c r="I55" s="67"/>
      <c r="J55" s="48" t="s">
        <v>64</v>
      </c>
      <c r="K55" s="48" t="s">
        <v>68</v>
      </c>
      <c r="L55" s="48" t="s">
        <v>66</v>
      </c>
      <c r="M55" s="48" t="s">
        <v>65</v>
      </c>
      <c r="N55" s="50" t="s">
        <v>70</v>
      </c>
      <c r="O55" s="49" t="s">
        <v>67</v>
      </c>
      <c r="P55" s="50" t="s">
        <v>59</v>
      </c>
      <c r="Q55" s="49" t="s">
        <v>67</v>
      </c>
      <c r="R55" s="50" t="s">
        <v>70</v>
      </c>
      <c r="S55" s="48" t="s">
        <v>65</v>
      </c>
      <c r="T55" s="48" t="s">
        <v>66</v>
      </c>
      <c r="U55" s="48" t="s">
        <v>68</v>
      </c>
      <c r="V55" s="48" t="s">
        <v>64</v>
      </c>
      <c r="W55" s="68"/>
      <c r="X55" s="8"/>
      <c r="Y55" s="8"/>
    </row>
    <row r="56" spans="1:25" x14ac:dyDescent="0.3">
      <c r="I56" s="67"/>
      <c r="J56" s="112">
        <v>-0.04</v>
      </c>
      <c r="K56" s="112">
        <v>-1.6E-2</v>
      </c>
      <c r="L56" s="112">
        <v>-1.6E-2</v>
      </c>
      <c r="M56" s="112">
        <v>1.6E-2</v>
      </c>
      <c r="N56" s="51"/>
      <c r="O56" s="112">
        <v>-0.04</v>
      </c>
      <c r="P56" s="129">
        <f>B4-B19-B15</f>
        <v>1323.61</v>
      </c>
      <c r="Q56" s="112">
        <v>-0.04</v>
      </c>
      <c r="R56" s="51"/>
      <c r="S56" s="112">
        <v>1.6E-2</v>
      </c>
      <c r="T56" s="112">
        <v>-1.6E-2</v>
      </c>
      <c r="U56" s="112">
        <v>-1.6E-2</v>
      </c>
      <c r="V56" s="112">
        <v>-0.04</v>
      </c>
      <c r="W56" s="69" t="s">
        <v>63</v>
      </c>
      <c r="X56" s="8"/>
      <c r="Y56" s="8"/>
    </row>
    <row r="57" spans="1:25" x14ac:dyDescent="0.3">
      <c r="I57" s="67"/>
      <c r="J57" s="112">
        <v>-0.04</v>
      </c>
      <c r="K57" s="112">
        <v>-1.6E-2</v>
      </c>
      <c r="L57" s="112">
        <v>-1.6E-2</v>
      </c>
      <c r="M57" s="112">
        <v>1.6E-2</v>
      </c>
      <c r="N57" s="51"/>
      <c r="O57" s="112">
        <v>-0.04</v>
      </c>
      <c r="P57" s="128">
        <v>1325</v>
      </c>
      <c r="Q57" s="112">
        <v>-0.04</v>
      </c>
      <c r="R57" s="51"/>
      <c r="S57" s="112">
        <v>1.6E-2</v>
      </c>
      <c r="T57" s="113">
        <f>((P57-$P$56)/(($B$7)*($B$13+$B$12)))+$T$56</f>
        <v>-1.5768333333333318E-2</v>
      </c>
      <c r="U57" s="113">
        <f>((P57-$P$56)/(($B$7)*($B$13+$B$12)))+($U$56)</f>
        <v>-1.5768333333333318E-2</v>
      </c>
      <c r="V57" s="112">
        <v>-0.04</v>
      </c>
      <c r="W57" s="69"/>
      <c r="X57" s="8"/>
      <c r="Y57" s="8"/>
    </row>
    <row r="58" spans="1:25" x14ac:dyDescent="0.3">
      <c r="I58" s="67"/>
      <c r="J58" s="112">
        <v>-0.04</v>
      </c>
      <c r="K58" s="112">
        <v>-1.6E-2</v>
      </c>
      <c r="L58" s="112">
        <v>-1.6E-2</v>
      </c>
      <c r="M58" s="112">
        <v>1.6E-2</v>
      </c>
      <c r="N58" s="51"/>
      <c r="O58" s="112">
        <v>-0.04</v>
      </c>
      <c r="P58" s="128">
        <v>1350</v>
      </c>
      <c r="Q58" s="112">
        <v>-0.04</v>
      </c>
      <c r="R58" s="51"/>
      <c r="S58" s="112">
        <v>1.6E-2</v>
      </c>
      <c r="T58" s="113">
        <f t="shared" ref="T58:T65" si="0">((P58-$P$56)/(($B$7)*($B$13+$B$12)))+$T$56</f>
        <v>-1.1601666666666649E-2</v>
      </c>
      <c r="U58" s="113">
        <f t="shared" ref="U58:U59" si="1">((P58-$P$56)/(($B$7)*($B$13+$B$12)))+($U$56)</f>
        <v>-1.1601666666666649E-2</v>
      </c>
      <c r="V58" s="112">
        <v>-0.04</v>
      </c>
      <c r="W58" s="69"/>
      <c r="X58" s="8"/>
      <c r="Y58" s="8"/>
    </row>
    <row r="59" spans="1:25" x14ac:dyDescent="0.3">
      <c r="I59" s="67"/>
      <c r="J59" s="112">
        <v>-0.04</v>
      </c>
      <c r="K59" s="112">
        <v>-1.6E-2</v>
      </c>
      <c r="L59" s="112">
        <v>-1.6E-2</v>
      </c>
      <c r="M59" s="112">
        <v>1.6E-2</v>
      </c>
      <c r="N59" s="51"/>
      <c r="O59" s="112">
        <v>-0.04</v>
      </c>
      <c r="P59" s="128">
        <v>1400</v>
      </c>
      <c r="Q59" s="112">
        <v>-0.04</v>
      </c>
      <c r="R59" s="51"/>
      <c r="S59" s="112">
        <v>1.6E-2</v>
      </c>
      <c r="T59" s="113">
        <f t="shared" si="0"/>
        <v>-3.2683333333333175E-3</v>
      </c>
      <c r="U59" s="113">
        <f t="shared" si="1"/>
        <v>-3.2683333333333175E-3</v>
      </c>
      <c r="V59" s="112">
        <v>-0.04</v>
      </c>
      <c r="W59" s="69"/>
      <c r="X59" s="8"/>
      <c r="Y59" s="8"/>
    </row>
    <row r="60" spans="1:25" x14ac:dyDescent="0.3">
      <c r="I60" s="70"/>
      <c r="J60" s="112">
        <v>-0.04</v>
      </c>
      <c r="K60" s="112">
        <v>-1.6E-2</v>
      </c>
      <c r="L60" s="112">
        <v>-1.6E-2</v>
      </c>
      <c r="M60" s="112">
        <v>1.6E-2</v>
      </c>
      <c r="N60" s="51"/>
      <c r="O60" s="112">
        <v>-0.04</v>
      </c>
      <c r="P60" s="129">
        <f>P56+B15</f>
        <v>1419.61</v>
      </c>
      <c r="Q60" s="112">
        <v>-0.04</v>
      </c>
      <c r="R60" s="51"/>
      <c r="S60" s="112">
        <v>1.6E-2</v>
      </c>
      <c r="T60" s="113">
        <f t="shared" si="0"/>
        <v>0</v>
      </c>
      <c r="U60" s="113">
        <f>((P60-$P$56)/(($B$7)*($B$13+$B$12)))+($U$56)</f>
        <v>0</v>
      </c>
      <c r="V60" s="112">
        <v>-0.04</v>
      </c>
      <c r="W60" s="69" t="s">
        <v>77</v>
      </c>
      <c r="X60" s="8"/>
      <c r="Y60" s="8"/>
    </row>
    <row r="61" spans="1:25" x14ac:dyDescent="0.3">
      <c r="I61" s="70" t="s">
        <v>78</v>
      </c>
      <c r="J61" s="112">
        <v>-0.04</v>
      </c>
      <c r="K61" s="112">
        <v>-1.6E-2</v>
      </c>
      <c r="L61" s="112">
        <v>-1.6E-2</v>
      </c>
      <c r="M61" s="113">
        <f>((($M$60))-((P61-$P$60)/(($B$7)*($B$11))))</f>
        <v>1.42033333333333E-2</v>
      </c>
      <c r="N61" s="51"/>
      <c r="O61" s="112">
        <v>-0.04</v>
      </c>
      <c r="P61" s="128">
        <v>1425</v>
      </c>
      <c r="Q61" s="112">
        <v>-0.04</v>
      </c>
      <c r="R61" s="51"/>
      <c r="S61" s="112">
        <v>1.6E-2</v>
      </c>
      <c r="T61" s="113">
        <f t="shared" si="0"/>
        <v>8.9833333333334819E-4</v>
      </c>
      <c r="U61" s="113">
        <f>((P61-$P$56)/(($B$7)*($B$13+$B$12)))+($U$56)</f>
        <v>8.9833333333334819E-4</v>
      </c>
      <c r="V61" s="112">
        <v>-0.04</v>
      </c>
      <c r="W61" s="69"/>
      <c r="X61" s="8"/>
      <c r="Y61" s="8"/>
    </row>
    <row r="62" spans="1:25" x14ac:dyDescent="0.3">
      <c r="I62" s="67"/>
      <c r="J62" s="112">
        <v>-0.04</v>
      </c>
      <c r="K62" s="112">
        <v>-1.6E-2</v>
      </c>
      <c r="L62" s="112">
        <v>-1.6E-2</v>
      </c>
      <c r="M62" s="113">
        <f t="shared" ref="M62" si="2">((($M$60))-((P62-$P$60)/(($B$7)*($B$11))))</f>
        <v>5.8699999999999673E-3</v>
      </c>
      <c r="N62" s="51"/>
      <c r="O62" s="112">
        <v>-0.04</v>
      </c>
      <c r="P62" s="128">
        <v>1450</v>
      </c>
      <c r="Q62" s="112">
        <v>-0.04</v>
      </c>
      <c r="R62" s="51"/>
      <c r="S62" s="112">
        <v>1.6E-2</v>
      </c>
      <c r="T62" s="113">
        <f t="shared" si="0"/>
        <v>5.0650000000000174E-3</v>
      </c>
      <c r="U62" s="113">
        <f t="shared" ref="U62:U66" si="3">((P62-$P$56)/(($B$7)*($B$13+$B$12)))+($U$56)</f>
        <v>5.0650000000000174E-3</v>
      </c>
      <c r="V62" s="112">
        <v>-0.04</v>
      </c>
      <c r="W62" s="69"/>
      <c r="X62" s="8"/>
      <c r="Y62" s="8"/>
    </row>
    <row r="63" spans="1:25" x14ac:dyDescent="0.3">
      <c r="I63" s="70" t="s">
        <v>77</v>
      </c>
      <c r="J63" s="112">
        <v>-0.04</v>
      </c>
      <c r="K63" s="112">
        <v>-1.6E-2</v>
      </c>
      <c r="L63" s="112">
        <v>-1.6E-2</v>
      </c>
      <c r="M63" s="113">
        <f>((($M$60))-((P63-$P$60)/(($B$7)*($B$11))))</f>
        <v>0</v>
      </c>
      <c r="N63" s="51"/>
      <c r="O63" s="112">
        <v>-0.04</v>
      </c>
      <c r="P63" s="129">
        <f>P60+(B15/2)</f>
        <v>1467.61</v>
      </c>
      <c r="Q63" s="112">
        <v>-0.04</v>
      </c>
      <c r="R63" s="51"/>
      <c r="S63" s="112">
        <v>1.6E-2</v>
      </c>
      <c r="T63" s="113">
        <f>((P63-$P$56)/(($B$7)*($B$13+$B$12)))+$T$56</f>
        <v>8.0000000000000002E-3</v>
      </c>
      <c r="U63" s="113">
        <f t="shared" si="3"/>
        <v>8.0000000000000002E-3</v>
      </c>
      <c r="V63" s="112">
        <v>-0.04</v>
      </c>
      <c r="W63" s="69"/>
      <c r="X63" s="8"/>
      <c r="Y63" s="8"/>
    </row>
    <row r="64" spans="1:25" x14ac:dyDescent="0.3">
      <c r="I64" s="67"/>
      <c r="J64" s="112">
        <v>-0.04</v>
      </c>
      <c r="K64" s="112">
        <v>-1.6E-2</v>
      </c>
      <c r="L64" s="112">
        <v>-1.6E-2</v>
      </c>
      <c r="M64" s="113">
        <f>((($M$60))-((P64-$P$60)/(($B$7)*($B$11))))</f>
        <v>-2.463333333333366E-3</v>
      </c>
      <c r="N64" s="51"/>
      <c r="O64" s="112">
        <v>-0.04</v>
      </c>
      <c r="P64" s="128">
        <v>1475</v>
      </c>
      <c r="Q64" s="112">
        <v>-0.04</v>
      </c>
      <c r="R64" s="51"/>
      <c r="S64" s="112">
        <v>1.6E-2</v>
      </c>
      <c r="T64" s="113">
        <f t="shared" si="0"/>
        <v>9.2316666666666831E-3</v>
      </c>
      <c r="U64" s="113">
        <f t="shared" si="3"/>
        <v>9.2316666666666831E-3</v>
      </c>
      <c r="V64" s="112">
        <v>-0.04</v>
      </c>
      <c r="W64" s="69"/>
      <c r="X64" s="8"/>
      <c r="Y64" s="8"/>
    </row>
    <row r="65" spans="9:25" x14ac:dyDescent="0.3">
      <c r="I65" s="67"/>
      <c r="J65" s="112">
        <v>-0.04</v>
      </c>
      <c r="K65" s="112">
        <v>-1.6E-2</v>
      </c>
      <c r="L65" s="112">
        <v>-1.6E-2</v>
      </c>
      <c r="M65" s="113">
        <f t="shared" ref="M65:M66" si="4">((($M$60))-((P65-$P$60)/(($B$7)*($B$11))))</f>
        <v>-1.0796666666666701E-2</v>
      </c>
      <c r="N65" s="51"/>
      <c r="O65" s="112">
        <v>-0.04</v>
      </c>
      <c r="P65" s="128">
        <v>1500</v>
      </c>
      <c r="Q65" s="112">
        <v>-0.04</v>
      </c>
      <c r="R65" s="51"/>
      <c r="S65" s="112">
        <v>1.6E-2</v>
      </c>
      <c r="T65" s="113">
        <f t="shared" si="0"/>
        <v>1.3398333333333349E-2</v>
      </c>
      <c r="U65" s="113">
        <f t="shared" si="3"/>
        <v>1.3398333333333349E-2</v>
      </c>
      <c r="V65" s="112">
        <v>-0.04</v>
      </c>
      <c r="W65" s="69"/>
      <c r="X65" s="8"/>
      <c r="Y65" s="8"/>
    </row>
    <row r="66" spans="9:25" x14ac:dyDescent="0.3">
      <c r="I66" s="67"/>
      <c r="J66" s="112">
        <v>-0.04</v>
      </c>
      <c r="K66" s="112">
        <v>-1.6E-2</v>
      </c>
      <c r="L66" s="112">
        <v>-1.6E-2</v>
      </c>
      <c r="M66" s="113">
        <f t="shared" si="4"/>
        <v>-1.6E-2</v>
      </c>
      <c r="N66" s="51"/>
      <c r="O66" s="112">
        <v>-0.04</v>
      </c>
      <c r="P66" s="129">
        <f>P63+(B15/2)</f>
        <v>1515.61</v>
      </c>
      <c r="Q66" s="112">
        <v>-0.04</v>
      </c>
      <c r="R66" s="51"/>
      <c r="S66" s="112">
        <v>1.6E-2</v>
      </c>
      <c r="T66" s="113">
        <f>((P66-$P$56)/(($B$7)*($B$13+$B$12)))+$T$56</f>
        <v>1.6E-2</v>
      </c>
      <c r="U66" s="113">
        <f t="shared" si="3"/>
        <v>1.6E-2</v>
      </c>
      <c r="V66" s="112">
        <v>-0.04</v>
      </c>
      <c r="W66" s="69"/>
      <c r="X66" s="8"/>
      <c r="Y66" s="8"/>
    </row>
    <row r="67" spans="9:25" x14ac:dyDescent="0.3">
      <c r="I67" s="67"/>
      <c r="J67" s="112">
        <v>-0.04</v>
      </c>
      <c r="K67" s="113">
        <f t="shared" ref="K67:K81" si="5">$K$66-((P67-$P$66)/(($B$7)*($B$11+$B$12+$B$13)))</f>
        <v>-1.7043333333333344E-2</v>
      </c>
      <c r="L67" s="113">
        <f t="shared" ref="L67:L81" si="6">$L$66-((P67-$P$66)/(($B$7)*($B$11+$B$12+$B$13)))</f>
        <v>-1.7043333333333344E-2</v>
      </c>
      <c r="M67" s="113">
        <f t="shared" ref="M67:M81" si="7">$M$66-((P67-$P$66)/(($B$7)*($B$11+$B$12+$B$13)))</f>
        <v>-1.7043333333333344E-2</v>
      </c>
      <c r="N67" s="51"/>
      <c r="O67" s="112">
        <v>-0.04</v>
      </c>
      <c r="P67" s="128">
        <v>1525</v>
      </c>
      <c r="Q67" s="112">
        <v>-0.04</v>
      </c>
      <c r="R67" s="51"/>
      <c r="S67" s="113">
        <f t="shared" ref="S67:S81" si="8">$S$66+((P67-$P$66)/(($B$7)*($B$11+$B$12+$B$13)))</f>
        <v>1.7043333333333344E-2</v>
      </c>
      <c r="T67" s="113">
        <f t="shared" ref="T67:T81" si="9">$T$66+((P67-$P$66)/(($B$7)*($B$11+$B$12+$B$13)))</f>
        <v>1.7043333333333344E-2</v>
      </c>
      <c r="U67" s="113">
        <f t="shared" ref="U67:U81" si="10">$U$66+((P67-$P$66)/(($B$7)*($B$11+$B$12+$B$13)))</f>
        <v>1.7043333333333344E-2</v>
      </c>
      <c r="V67" s="112">
        <v>-0.04</v>
      </c>
      <c r="W67" s="69"/>
      <c r="X67" s="8"/>
      <c r="Y67" s="8"/>
    </row>
    <row r="68" spans="9:25" x14ac:dyDescent="0.3">
      <c r="I68" s="67"/>
      <c r="J68" s="112">
        <v>-0.04</v>
      </c>
      <c r="K68" s="113">
        <f t="shared" si="5"/>
        <v>-1.9821111111111123E-2</v>
      </c>
      <c r="L68" s="113">
        <f t="shared" si="6"/>
        <v>-1.9821111111111123E-2</v>
      </c>
      <c r="M68" s="113">
        <f t="shared" si="7"/>
        <v>-1.9821111111111123E-2</v>
      </c>
      <c r="N68" s="51"/>
      <c r="O68" s="112">
        <v>-0.04</v>
      </c>
      <c r="P68" s="128">
        <v>1550</v>
      </c>
      <c r="Q68" s="112">
        <v>-0.04</v>
      </c>
      <c r="R68" s="51"/>
      <c r="S68" s="113">
        <f t="shared" si="8"/>
        <v>1.9821111111111123E-2</v>
      </c>
      <c r="T68" s="113">
        <f t="shared" si="9"/>
        <v>1.9821111111111123E-2</v>
      </c>
      <c r="U68" s="113">
        <f t="shared" si="10"/>
        <v>1.9821111111111123E-2</v>
      </c>
      <c r="V68" s="112">
        <v>-0.04</v>
      </c>
      <c r="W68" s="69"/>
      <c r="X68" s="8"/>
      <c r="Y68" s="8"/>
    </row>
    <row r="69" spans="9:25" x14ac:dyDescent="0.3">
      <c r="I69" s="67"/>
      <c r="J69" s="112">
        <v>-0.04</v>
      </c>
      <c r="K69" s="113">
        <f t="shared" si="5"/>
        <v>-2.1666666666666667E-2</v>
      </c>
      <c r="L69" s="113">
        <f t="shared" si="6"/>
        <v>-2.1666666666666667E-2</v>
      </c>
      <c r="M69" s="113">
        <f t="shared" si="7"/>
        <v>-2.1666666666666667E-2</v>
      </c>
      <c r="N69" s="51"/>
      <c r="O69" s="112">
        <v>-0.04</v>
      </c>
      <c r="P69" s="129">
        <f>B3</f>
        <v>1566.61</v>
      </c>
      <c r="Q69" s="112">
        <v>-0.04</v>
      </c>
      <c r="R69" s="51"/>
      <c r="S69" s="113">
        <f t="shared" si="8"/>
        <v>2.1666666666666667E-2</v>
      </c>
      <c r="T69" s="113">
        <f t="shared" si="9"/>
        <v>2.1666666666666667E-2</v>
      </c>
      <c r="U69" s="113">
        <f t="shared" si="10"/>
        <v>2.1666666666666667E-2</v>
      </c>
      <c r="V69" s="112">
        <v>-0.04</v>
      </c>
      <c r="W69" s="69" t="s">
        <v>126</v>
      </c>
      <c r="X69" s="8"/>
      <c r="Y69" s="8"/>
    </row>
    <row r="70" spans="9:25" x14ac:dyDescent="0.3">
      <c r="I70" s="67"/>
      <c r="J70" s="112">
        <v>-0.04</v>
      </c>
      <c r="K70" s="113">
        <f t="shared" si="5"/>
        <v>-2.2598888888888901E-2</v>
      </c>
      <c r="L70" s="113">
        <f t="shared" si="6"/>
        <v>-2.2598888888888901E-2</v>
      </c>
      <c r="M70" s="113">
        <f t="shared" si="7"/>
        <v>-2.2598888888888901E-2</v>
      </c>
      <c r="N70" s="51"/>
      <c r="O70" s="112">
        <v>-0.04</v>
      </c>
      <c r="P70" s="128">
        <v>1575</v>
      </c>
      <c r="Q70" s="112">
        <v>-0.04</v>
      </c>
      <c r="R70" s="51"/>
      <c r="S70" s="113">
        <f t="shared" si="8"/>
        <v>2.2598888888888901E-2</v>
      </c>
      <c r="T70" s="113">
        <f t="shared" si="9"/>
        <v>2.2598888888888901E-2</v>
      </c>
      <c r="U70" s="113">
        <f t="shared" si="10"/>
        <v>2.2598888888888901E-2</v>
      </c>
      <c r="V70" s="112">
        <v>-0.04</v>
      </c>
      <c r="W70" s="69"/>
      <c r="X70" s="8"/>
      <c r="Y70" s="8"/>
    </row>
    <row r="71" spans="9:25" x14ac:dyDescent="0.3">
      <c r="I71" s="67"/>
      <c r="J71" s="112">
        <v>-0.04</v>
      </c>
      <c r="K71" s="113">
        <f t="shared" si="5"/>
        <v>-2.5376666666666679E-2</v>
      </c>
      <c r="L71" s="113">
        <f t="shared" si="6"/>
        <v>-2.5376666666666679E-2</v>
      </c>
      <c r="M71" s="113">
        <f t="shared" si="7"/>
        <v>-2.5376666666666679E-2</v>
      </c>
      <c r="N71" s="51"/>
      <c r="O71" s="112">
        <v>-0.04</v>
      </c>
      <c r="P71" s="128">
        <v>1600</v>
      </c>
      <c r="Q71" s="112">
        <v>-0.04</v>
      </c>
      <c r="R71" s="51"/>
      <c r="S71" s="113">
        <f t="shared" si="8"/>
        <v>2.5376666666666679E-2</v>
      </c>
      <c r="T71" s="113">
        <f t="shared" si="9"/>
        <v>2.5376666666666679E-2</v>
      </c>
      <c r="U71" s="113">
        <f t="shared" si="10"/>
        <v>2.5376666666666679E-2</v>
      </c>
      <c r="V71" s="112">
        <v>-0.04</v>
      </c>
      <c r="W71" s="69"/>
      <c r="X71" s="8"/>
      <c r="Y71" s="8"/>
    </row>
    <row r="72" spans="9:25" x14ac:dyDescent="0.3">
      <c r="I72" s="67"/>
      <c r="J72" s="112">
        <v>-0.04</v>
      </c>
      <c r="K72" s="113">
        <f t="shared" si="5"/>
        <v>-2.8154444444444454E-2</v>
      </c>
      <c r="L72" s="113">
        <f t="shared" si="6"/>
        <v>-2.8154444444444454E-2</v>
      </c>
      <c r="M72" s="113">
        <f t="shared" si="7"/>
        <v>-2.8154444444444454E-2</v>
      </c>
      <c r="N72" s="51"/>
      <c r="O72" s="112">
        <v>-0.04</v>
      </c>
      <c r="P72" s="128">
        <v>1625</v>
      </c>
      <c r="Q72" s="112">
        <v>-0.04</v>
      </c>
      <c r="R72" s="51"/>
      <c r="S72" s="113">
        <f t="shared" si="8"/>
        <v>2.8154444444444454E-2</v>
      </c>
      <c r="T72" s="113">
        <f t="shared" si="9"/>
        <v>2.8154444444444454E-2</v>
      </c>
      <c r="U72" s="113">
        <f t="shared" si="10"/>
        <v>2.8154444444444454E-2</v>
      </c>
      <c r="V72" s="112">
        <v>-0.04</v>
      </c>
      <c r="W72" s="69"/>
      <c r="X72" s="8"/>
      <c r="Y72" s="8"/>
    </row>
    <row r="73" spans="9:25" x14ac:dyDescent="0.3">
      <c r="I73" s="70" t="s">
        <v>75</v>
      </c>
      <c r="J73" s="112">
        <v>-0.04</v>
      </c>
      <c r="K73" s="113">
        <f t="shared" si="5"/>
        <v>-0.03</v>
      </c>
      <c r="L73" s="113">
        <f t="shared" si="6"/>
        <v>-0.03</v>
      </c>
      <c r="M73" s="113">
        <f t="shared" si="7"/>
        <v>-0.03</v>
      </c>
      <c r="N73" s="51"/>
      <c r="O73" s="112">
        <v>-0.04</v>
      </c>
      <c r="P73" s="129">
        <f>P66+((0.03-B10)*(B11+B12+B13)*(B7))</f>
        <v>1641.61</v>
      </c>
      <c r="Q73" s="112">
        <v>-0.04</v>
      </c>
      <c r="R73" s="51"/>
      <c r="S73" s="113">
        <f t="shared" si="8"/>
        <v>0.03</v>
      </c>
      <c r="T73" s="113">
        <f t="shared" si="9"/>
        <v>0.03</v>
      </c>
      <c r="U73" s="113">
        <f t="shared" si="10"/>
        <v>0.03</v>
      </c>
      <c r="V73" s="112">
        <v>-0.04</v>
      </c>
      <c r="W73" s="69" t="s">
        <v>73</v>
      </c>
      <c r="X73" s="8"/>
      <c r="Y73" s="8"/>
    </row>
    <row r="74" spans="9:25" x14ac:dyDescent="0.3">
      <c r="I74" s="70"/>
      <c r="J74" s="112">
        <v>-0.04</v>
      </c>
      <c r="K74" s="113">
        <f t="shared" si="5"/>
        <v>-3.0932222222222236E-2</v>
      </c>
      <c r="L74" s="113">
        <f t="shared" si="6"/>
        <v>-3.0932222222222236E-2</v>
      </c>
      <c r="M74" s="113">
        <f t="shared" si="7"/>
        <v>-3.0932222222222236E-2</v>
      </c>
      <c r="N74" s="51" t="s">
        <v>143</v>
      </c>
      <c r="O74" s="113">
        <v>-0.04</v>
      </c>
      <c r="P74" s="128">
        <v>1650</v>
      </c>
      <c r="Q74" s="112">
        <v>-0.04</v>
      </c>
      <c r="R74" s="51"/>
      <c r="S74" s="113">
        <f t="shared" si="8"/>
        <v>3.0932222222222236E-2</v>
      </c>
      <c r="T74" s="113">
        <f t="shared" si="9"/>
        <v>3.0932222222222236E-2</v>
      </c>
      <c r="U74" s="113">
        <f t="shared" si="10"/>
        <v>3.0932222222222236E-2</v>
      </c>
      <c r="V74" s="113">
        <f>-0.07+U74</f>
        <v>-3.9067777777777771E-2</v>
      </c>
      <c r="W74" s="69"/>
      <c r="X74" s="8"/>
      <c r="Y74" s="8"/>
    </row>
    <row r="75" spans="9:25" x14ac:dyDescent="0.3">
      <c r="I75" s="71" t="s">
        <v>43</v>
      </c>
      <c r="J75" s="112">
        <v>-0.04</v>
      </c>
      <c r="K75" s="113">
        <f t="shared" si="5"/>
        <v>-3.3710000000000011E-2</v>
      </c>
      <c r="L75" s="113">
        <f t="shared" si="6"/>
        <v>-3.3710000000000011E-2</v>
      </c>
      <c r="M75" s="113">
        <f t="shared" si="7"/>
        <v>-3.3710000000000011E-2</v>
      </c>
      <c r="N75" s="51" t="s">
        <v>143</v>
      </c>
      <c r="O75" s="113">
        <v>-0.04</v>
      </c>
      <c r="P75" s="128">
        <v>1675</v>
      </c>
      <c r="Q75" s="112">
        <v>-0.04</v>
      </c>
      <c r="R75" s="51"/>
      <c r="S75" s="113">
        <f t="shared" si="8"/>
        <v>3.3710000000000011E-2</v>
      </c>
      <c r="T75" s="113">
        <f t="shared" si="9"/>
        <v>3.3710000000000011E-2</v>
      </c>
      <c r="U75" s="113">
        <f t="shared" si="10"/>
        <v>3.3710000000000011E-2</v>
      </c>
      <c r="V75" s="113">
        <f>-0.07+U75</f>
        <v>-3.6289999999999996E-2</v>
      </c>
      <c r="W75" s="69"/>
      <c r="X75" s="8"/>
      <c r="Y75" s="8"/>
    </row>
    <row r="76" spans="9:25" x14ac:dyDescent="0.3">
      <c r="I76" s="67"/>
      <c r="J76" s="112">
        <v>-0.04</v>
      </c>
      <c r="K76" s="113">
        <f t="shared" si="5"/>
        <v>-3.6487777777777786E-2</v>
      </c>
      <c r="L76" s="113">
        <f t="shared" si="6"/>
        <v>-3.6487777777777786E-2</v>
      </c>
      <c r="M76" s="113">
        <f t="shared" si="7"/>
        <v>-3.6487777777777786E-2</v>
      </c>
      <c r="N76" s="51" t="s">
        <v>143</v>
      </c>
      <c r="O76" s="113">
        <v>-0.04</v>
      </c>
      <c r="P76" s="128">
        <v>1700</v>
      </c>
      <c r="Q76" s="112">
        <v>-0.04</v>
      </c>
      <c r="R76" s="51"/>
      <c r="S76" s="113">
        <f t="shared" si="8"/>
        <v>3.6487777777777786E-2</v>
      </c>
      <c r="T76" s="113">
        <f t="shared" si="9"/>
        <v>3.6487777777777786E-2</v>
      </c>
      <c r="U76" s="113">
        <f t="shared" si="10"/>
        <v>3.6487777777777786E-2</v>
      </c>
      <c r="V76" s="113">
        <f t="shared" ref="V76:V81" si="11">-0.07+U76</f>
        <v>-3.3512222222222221E-2</v>
      </c>
      <c r="W76" s="69"/>
      <c r="X76" s="8"/>
      <c r="Y76" s="8"/>
    </row>
    <row r="77" spans="9:25" x14ac:dyDescent="0.3">
      <c r="I77" s="67"/>
      <c r="J77" s="112">
        <v>-0.04</v>
      </c>
      <c r="K77" s="113">
        <f t="shared" si="5"/>
        <v>-3.9265555555555567E-2</v>
      </c>
      <c r="L77" s="113">
        <f t="shared" si="6"/>
        <v>-3.9265555555555567E-2</v>
      </c>
      <c r="M77" s="113">
        <f t="shared" si="7"/>
        <v>-3.9265555555555567E-2</v>
      </c>
      <c r="N77" s="51" t="s">
        <v>143</v>
      </c>
      <c r="O77" s="113">
        <v>-0.04</v>
      </c>
      <c r="P77" s="128">
        <v>1725</v>
      </c>
      <c r="Q77" s="112">
        <v>-0.04</v>
      </c>
      <c r="R77" s="51"/>
      <c r="S77" s="113">
        <f t="shared" si="8"/>
        <v>3.9265555555555567E-2</v>
      </c>
      <c r="T77" s="113">
        <f t="shared" si="9"/>
        <v>3.9265555555555567E-2</v>
      </c>
      <c r="U77" s="113">
        <f t="shared" si="10"/>
        <v>3.9265555555555567E-2</v>
      </c>
      <c r="V77" s="113">
        <f t="shared" si="11"/>
        <v>-3.0734444444444439E-2</v>
      </c>
      <c r="W77" s="69"/>
      <c r="X77" s="8"/>
      <c r="Y77" s="8"/>
    </row>
    <row r="78" spans="9:25" x14ac:dyDescent="0.3">
      <c r="I78" s="67"/>
      <c r="J78" s="112">
        <v>-0.04</v>
      </c>
      <c r="K78" s="113">
        <f t="shared" si="5"/>
        <v>-0.04</v>
      </c>
      <c r="L78" s="113">
        <f t="shared" si="6"/>
        <v>-0.04</v>
      </c>
      <c r="M78" s="113">
        <f t="shared" si="7"/>
        <v>-0.04</v>
      </c>
      <c r="N78" s="51" t="s">
        <v>143</v>
      </c>
      <c r="O78" s="113">
        <v>-0.04</v>
      </c>
      <c r="P78" s="129">
        <f>P66+((0.04-B10)*(B11+B12+B13)*(B7))</f>
        <v>1731.61</v>
      </c>
      <c r="Q78" s="112">
        <v>-0.04</v>
      </c>
      <c r="R78" s="51"/>
      <c r="S78" s="113">
        <f t="shared" si="8"/>
        <v>0.04</v>
      </c>
      <c r="T78" s="113">
        <f t="shared" si="9"/>
        <v>0.04</v>
      </c>
      <c r="U78" s="113">
        <f t="shared" si="10"/>
        <v>0.04</v>
      </c>
      <c r="V78" s="113">
        <f>-0.07+U78</f>
        <v>-3.0000000000000006E-2</v>
      </c>
      <c r="W78" s="69"/>
      <c r="X78" s="8"/>
      <c r="Y78" s="8"/>
    </row>
    <row r="79" spans="9:25" x14ac:dyDescent="0.3">
      <c r="I79" s="67"/>
      <c r="J79" s="113">
        <f t="shared" ref="J79:J84" si="12">K79</f>
        <v>-4.2043333333333349E-2</v>
      </c>
      <c r="K79" s="113">
        <f t="shared" si="5"/>
        <v>-4.2043333333333349E-2</v>
      </c>
      <c r="L79" s="113">
        <f t="shared" si="6"/>
        <v>-4.2043333333333349E-2</v>
      </c>
      <c r="M79" s="113">
        <f t="shared" si="7"/>
        <v>-4.2043333333333349E-2</v>
      </c>
      <c r="N79" s="51" t="s">
        <v>143</v>
      </c>
      <c r="O79" s="113">
        <v>-0.04</v>
      </c>
      <c r="P79" s="128">
        <v>1750</v>
      </c>
      <c r="Q79" s="113">
        <f t="shared" ref="Q79:Q84" si="13">-S79</f>
        <v>-4.2043333333333349E-2</v>
      </c>
      <c r="R79" s="51"/>
      <c r="S79" s="113">
        <f t="shared" si="8"/>
        <v>4.2043333333333349E-2</v>
      </c>
      <c r="T79" s="113">
        <f t="shared" si="9"/>
        <v>4.2043333333333349E-2</v>
      </c>
      <c r="U79" s="113">
        <f t="shared" si="10"/>
        <v>4.2043333333333349E-2</v>
      </c>
      <c r="V79" s="113">
        <f>-0.07+U79</f>
        <v>-2.7956666666666657E-2</v>
      </c>
      <c r="W79" s="69"/>
      <c r="X79" s="8"/>
      <c r="Y79" s="8"/>
    </row>
    <row r="80" spans="9:25" x14ac:dyDescent="0.3">
      <c r="I80" s="67"/>
      <c r="J80" s="113">
        <f t="shared" si="12"/>
        <v>-4.4821111111111124E-2</v>
      </c>
      <c r="K80" s="113">
        <f t="shared" si="5"/>
        <v>-4.4821111111111124E-2</v>
      </c>
      <c r="L80" s="113">
        <f t="shared" si="6"/>
        <v>-4.4821111111111124E-2</v>
      </c>
      <c r="M80" s="113">
        <f t="shared" si="7"/>
        <v>-4.4821111111111124E-2</v>
      </c>
      <c r="N80" s="51" t="s">
        <v>143</v>
      </c>
      <c r="O80" s="113">
        <v>-0.04</v>
      </c>
      <c r="P80" s="128">
        <v>1775</v>
      </c>
      <c r="Q80" s="113">
        <f t="shared" si="13"/>
        <v>-4.4821111111111124E-2</v>
      </c>
      <c r="R80" s="51"/>
      <c r="S80" s="113">
        <f t="shared" si="8"/>
        <v>4.4821111111111124E-2</v>
      </c>
      <c r="T80" s="113">
        <f t="shared" si="9"/>
        <v>4.4821111111111124E-2</v>
      </c>
      <c r="U80" s="113">
        <f t="shared" si="10"/>
        <v>4.4821111111111124E-2</v>
      </c>
      <c r="V80" s="113">
        <f>-0.07+U80</f>
        <v>-2.5178888888888883E-2</v>
      </c>
      <c r="W80" s="69"/>
      <c r="X80" s="8"/>
      <c r="Y80" s="8"/>
    </row>
    <row r="81" spans="1:25" x14ac:dyDescent="0.3">
      <c r="I81" s="70" t="s">
        <v>79</v>
      </c>
      <c r="J81" s="113">
        <f t="shared" si="12"/>
        <v>-5.5E-2</v>
      </c>
      <c r="K81" s="113">
        <f t="shared" si="5"/>
        <v>-5.5E-2</v>
      </c>
      <c r="L81" s="113">
        <f t="shared" si="6"/>
        <v>-5.5E-2</v>
      </c>
      <c r="M81" s="113">
        <f t="shared" si="7"/>
        <v>-5.5E-2</v>
      </c>
      <c r="N81" s="51" t="s">
        <v>143</v>
      </c>
      <c r="O81" s="113">
        <v>-0.04</v>
      </c>
      <c r="P81" s="129">
        <f>P56+B15+B19</f>
        <v>1866.61</v>
      </c>
      <c r="Q81" s="113">
        <f t="shared" si="13"/>
        <v>-5.5E-2</v>
      </c>
      <c r="R81" s="51"/>
      <c r="S81" s="113">
        <f t="shared" si="8"/>
        <v>5.5E-2</v>
      </c>
      <c r="T81" s="113">
        <f t="shared" si="9"/>
        <v>5.5E-2</v>
      </c>
      <c r="U81" s="113">
        <f t="shared" si="10"/>
        <v>5.5E-2</v>
      </c>
      <c r="V81" s="113">
        <f t="shared" si="11"/>
        <v>-1.5000000000000006E-2</v>
      </c>
      <c r="W81" s="69" t="s">
        <v>79</v>
      </c>
      <c r="X81" s="8"/>
      <c r="Y81" s="8"/>
    </row>
    <row r="82" spans="1:25" x14ac:dyDescent="0.3">
      <c r="I82" s="67"/>
      <c r="J82" s="112">
        <f t="shared" si="12"/>
        <v>-5.5E-2</v>
      </c>
      <c r="K82" s="112">
        <v>-5.5E-2</v>
      </c>
      <c r="L82" s="112">
        <v>-5.5E-2</v>
      </c>
      <c r="M82" s="112">
        <v>-5.5E-2</v>
      </c>
      <c r="N82" s="51"/>
      <c r="O82" s="112">
        <v>-0.04</v>
      </c>
      <c r="P82" s="128">
        <v>1875</v>
      </c>
      <c r="Q82" s="112">
        <f t="shared" si="13"/>
        <v>-5.5E-2</v>
      </c>
      <c r="R82" s="51"/>
      <c r="S82" s="48">
        <v>5.5E-2</v>
      </c>
      <c r="T82" s="48">
        <v>5.5E-2</v>
      </c>
      <c r="U82" s="48">
        <v>5.5E-2</v>
      </c>
      <c r="V82" s="48">
        <f>-0.07+U82</f>
        <v>-1.5000000000000006E-2</v>
      </c>
      <c r="W82" s="69"/>
      <c r="X82" s="8"/>
      <c r="Y82" s="8"/>
    </row>
    <row r="83" spans="1:25" x14ac:dyDescent="0.3">
      <c r="I83" s="67"/>
      <c r="J83" s="112">
        <f t="shared" si="12"/>
        <v>-5.5E-2</v>
      </c>
      <c r="K83" s="112">
        <v>-5.5E-2</v>
      </c>
      <c r="L83" s="112">
        <v>-5.5E-2</v>
      </c>
      <c r="M83" s="112">
        <v>-5.5E-2</v>
      </c>
      <c r="N83" s="51"/>
      <c r="O83" s="112">
        <v>-0.04</v>
      </c>
      <c r="P83" s="128">
        <v>1900</v>
      </c>
      <c r="Q83" s="112">
        <f t="shared" si="13"/>
        <v>-5.5E-2</v>
      </c>
      <c r="R83" s="51"/>
      <c r="S83" s="48">
        <v>5.5E-2</v>
      </c>
      <c r="T83" s="48">
        <v>5.5E-2</v>
      </c>
      <c r="U83" s="48">
        <v>5.5E-2</v>
      </c>
      <c r="V83" s="48">
        <f>-0.07+U83</f>
        <v>-1.5000000000000006E-2</v>
      </c>
      <c r="W83" s="69"/>
      <c r="X83" s="8"/>
      <c r="Y83" s="8"/>
    </row>
    <row r="84" spans="1:25" x14ac:dyDescent="0.3">
      <c r="I84" s="67"/>
      <c r="J84" s="112">
        <f t="shared" si="12"/>
        <v>-5.5E-2</v>
      </c>
      <c r="K84" s="112">
        <v>-5.5E-2</v>
      </c>
      <c r="L84" s="112">
        <v>-5.5E-2</v>
      </c>
      <c r="M84" s="112">
        <v>-5.5E-2</v>
      </c>
      <c r="N84" s="51"/>
      <c r="O84" s="112">
        <v>-0.04</v>
      </c>
      <c r="P84" s="128">
        <v>1925</v>
      </c>
      <c r="Q84" s="112">
        <f t="shared" si="13"/>
        <v>-5.5E-2</v>
      </c>
      <c r="R84" s="51"/>
      <c r="S84" s="48">
        <v>5.5E-2</v>
      </c>
      <c r="T84" s="48">
        <v>5.5E-2</v>
      </c>
      <c r="U84" s="48">
        <v>5.5E-2</v>
      </c>
      <c r="V84" s="48">
        <f>V83</f>
        <v>-1.5000000000000006E-2</v>
      </c>
      <c r="W84" s="69"/>
      <c r="X84" s="8"/>
      <c r="Y84" s="8"/>
    </row>
    <row r="85" spans="1:25" x14ac:dyDescent="0.3">
      <c r="I85" s="67"/>
      <c r="J85" s="166" t="s">
        <v>76</v>
      </c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69"/>
      <c r="X85" s="8"/>
      <c r="Y85" s="8"/>
    </row>
    <row r="86" spans="1:25" x14ac:dyDescent="0.3">
      <c r="I86" s="67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69"/>
      <c r="X86" s="8"/>
      <c r="Y86" s="8"/>
    </row>
    <row r="87" spans="1:25" ht="52.2" customHeight="1" x14ac:dyDescent="0.3">
      <c r="I87" s="67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69"/>
      <c r="X87" s="8"/>
      <c r="Y87" s="8"/>
    </row>
    <row r="88" spans="1:25" ht="14.4" customHeight="1" x14ac:dyDescent="0.3">
      <c r="I88" s="67"/>
      <c r="J88" s="112">
        <f t="shared" ref="J88:J97" si="14">K88</f>
        <v>-5.5E-2</v>
      </c>
      <c r="K88" s="112">
        <v>-5.5E-2</v>
      </c>
      <c r="L88" s="112">
        <v>-5.5E-2</v>
      </c>
      <c r="M88" s="112">
        <v>-5.5E-2</v>
      </c>
      <c r="N88" s="51"/>
      <c r="O88" s="112">
        <v>-0.04</v>
      </c>
      <c r="P88" s="127">
        <v>3350</v>
      </c>
      <c r="Q88" s="112">
        <f>-S88</f>
        <v>-5.5E-2</v>
      </c>
      <c r="R88" s="51"/>
      <c r="S88" s="112">
        <v>5.5E-2</v>
      </c>
      <c r="T88" s="112">
        <v>5.5E-2</v>
      </c>
      <c r="U88" s="112">
        <v>5.5E-2</v>
      </c>
      <c r="V88" s="112">
        <f t="shared" ref="V88:V91" si="15">-0.07+U88</f>
        <v>-1.5000000000000006E-2</v>
      </c>
      <c r="W88" s="69"/>
      <c r="X88" s="8"/>
      <c r="Y88" s="8"/>
    </row>
    <row r="89" spans="1:25" s="45" customFormat="1" ht="14.4" customHeight="1" x14ac:dyDescent="0.3">
      <c r="A89" s="35"/>
      <c r="B89" s="35"/>
      <c r="C89" s="35"/>
      <c r="D89" s="35"/>
      <c r="E89" s="35"/>
      <c r="F89" s="35"/>
      <c r="G89" s="35"/>
      <c r="H89" s="35"/>
      <c r="I89" s="70"/>
      <c r="J89" s="112">
        <f t="shared" si="14"/>
        <v>-5.5E-2</v>
      </c>
      <c r="K89" s="112">
        <v>-5.5E-2</v>
      </c>
      <c r="L89" s="112">
        <v>-5.5E-2</v>
      </c>
      <c r="M89" s="112">
        <v>-5.5E-2</v>
      </c>
      <c r="N89" s="51"/>
      <c r="O89" s="112">
        <v>-0.04</v>
      </c>
      <c r="P89" s="127">
        <v>3375</v>
      </c>
      <c r="Q89" s="112">
        <f t="shared" ref="Q89:Q97" si="16">-S89</f>
        <v>-5.5E-2</v>
      </c>
      <c r="R89" s="51"/>
      <c r="S89" s="112">
        <v>5.5E-2</v>
      </c>
      <c r="T89" s="112">
        <v>5.5E-2</v>
      </c>
      <c r="U89" s="112">
        <v>5.5E-2</v>
      </c>
      <c r="V89" s="112">
        <f t="shared" si="15"/>
        <v>-1.5000000000000006E-2</v>
      </c>
      <c r="W89" s="69"/>
      <c r="X89" s="35"/>
      <c r="Y89" s="35"/>
    </row>
    <row r="90" spans="1:25" s="45" customFormat="1" x14ac:dyDescent="0.3">
      <c r="A90" s="35"/>
      <c r="B90" s="35"/>
      <c r="C90" s="35"/>
      <c r="D90" s="35"/>
      <c r="E90" s="35"/>
      <c r="F90" s="35"/>
      <c r="G90" s="35"/>
      <c r="H90" s="35"/>
      <c r="I90" s="70"/>
      <c r="J90" s="112">
        <f t="shared" si="14"/>
        <v>-5.5E-2</v>
      </c>
      <c r="K90" s="112">
        <v>-5.5E-2</v>
      </c>
      <c r="L90" s="112">
        <v>-5.5E-2</v>
      </c>
      <c r="M90" s="112">
        <v>-5.5E-2</v>
      </c>
      <c r="N90" s="51"/>
      <c r="O90" s="112">
        <v>-0.04</v>
      </c>
      <c r="P90" s="128">
        <v>3400</v>
      </c>
      <c r="Q90" s="112">
        <f t="shared" si="16"/>
        <v>-5.5E-2</v>
      </c>
      <c r="R90" s="51"/>
      <c r="S90" s="112">
        <v>5.5E-2</v>
      </c>
      <c r="T90" s="112">
        <v>5.5E-2</v>
      </c>
      <c r="U90" s="112">
        <v>5.5E-2</v>
      </c>
      <c r="V90" s="112">
        <f t="shared" si="15"/>
        <v>-1.5000000000000006E-2</v>
      </c>
      <c r="W90" s="69"/>
      <c r="X90" s="35"/>
      <c r="Y90" s="35"/>
    </row>
    <row r="91" spans="1:25" x14ac:dyDescent="0.3">
      <c r="I91" s="70" t="s">
        <v>80</v>
      </c>
      <c r="J91" s="112">
        <f t="shared" si="14"/>
        <v>-5.5E-2</v>
      </c>
      <c r="K91" s="112">
        <v>-5.5E-2</v>
      </c>
      <c r="L91" s="112">
        <v>-5.5E-2</v>
      </c>
      <c r="M91" s="112">
        <v>-5.5E-2</v>
      </c>
      <c r="N91" s="51"/>
      <c r="O91" s="112">
        <v>-0.04</v>
      </c>
      <c r="P91" s="129">
        <f>D3</f>
        <v>3414.95</v>
      </c>
      <c r="Q91" s="112">
        <f t="shared" si="16"/>
        <v>-5.5E-2</v>
      </c>
      <c r="R91" s="51"/>
      <c r="S91" s="112">
        <v>5.5E-2</v>
      </c>
      <c r="T91" s="112">
        <v>5.5E-2</v>
      </c>
      <c r="U91" s="112">
        <v>5.5E-2</v>
      </c>
      <c r="V91" s="112">
        <f t="shared" si="15"/>
        <v>-1.5000000000000006E-2</v>
      </c>
      <c r="W91" s="68" t="s">
        <v>133</v>
      </c>
      <c r="X91" s="8"/>
      <c r="Y91" s="8"/>
    </row>
    <row r="92" spans="1:25" x14ac:dyDescent="0.3">
      <c r="I92" s="70"/>
      <c r="J92" s="113">
        <f t="shared" si="14"/>
        <v>-5.3883333333333311E-2</v>
      </c>
      <c r="K92" s="113">
        <f t="shared" ref="K92:K109" si="17">$K$91+((P92-$P$91)/(($B$7)*($B$11+$B$12+$B$13)))</f>
        <v>-5.3883333333333311E-2</v>
      </c>
      <c r="L92" s="113">
        <f t="shared" ref="L92:L109" si="18">$L$91+((P92-$P$91)/(($B$7)*($B$11+$B$12+$B$13)))</f>
        <v>-5.3883333333333311E-2</v>
      </c>
      <c r="M92" s="113">
        <f t="shared" ref="M92:M109" si="19">$M$91+((P92-$P$91)/(($B$7)*($B$11+$B$12+$B$13)))</f>
        <v>-5.3883333333333311E-2</v>
      </c>
      <c r="N92" s="51" t="s">
        <v>143</v>
      </c>
      <c r="O92" s="113">
        <v>-0.04</v>
      </c>
      <c r="P92" s="128">
        <v>3425</v>
      </c>
      <c r="Q92" s="113">
        <f t="shared" si="16"/>
        <v>-5.3883333333333311E-2</v>
      </c>
      <c r="R92" s="51"/>
      <c r="S92" s="113">
        <f t="shared" ref="S92:S109" si="20">$S$91-((P92-$P$91)/(($B$7)*($B$11+$B$12+$B$13)))</f>
        <v>5.3883333333333311E-2</v>
      </c>
      <c r="T92" s="113">
        <f t="shared" ref="T92:T109" si="21">$T$91-((P92-$P$91)/(($B$7)*($B$11+$B$12+$B$13)))</f>
        <v>5.3883333333333311E-2</v>
      </c>
      <c r="U92" s="113">
        <f t="shared" ref="U92:U109" si="22">$U$91-((P92-$P$91)/(($B$7)*($B$11+$B$12+$B$13)))</f>
        <v>5.3883333333333311E-2</v>
      </c>
      <c r="V92" s="113">
        <f t="shared" ref="V92:V99" si="23">-0.07+U92</f>
        <v>-1.6116666666666696E-2</v>
      </c>
      <c r="W92" s="68"/>
      <c r="X92" s="8"/>
      <c r="Y92" s="8"/>
    </row>
    <row r="93" spans="1:25" x14ac:dyDescent="0.3">
      <c r="I93" s="70"/>
      <c r="J93" s="113">
        <f t="shared" si="14"/>
        <v>-5.1105555555555536E-2</v>
      </c>
      <c r="K93" s="113">
        <f t="shared" si="17"/>
        <v>-5.1105555555555536E-2</v>
      </c>
      <c r="L93" s="113">
        <f t="shared" si="18"/>
        <v>-5.1105555555555536E-2</v>
      </c>
      <c r="M93" s="113">
        <f t="shared" si="19"/>
        <v>-5.1105555555555536E-2</v>
      </c>
      <c r="N93" s="51" t="s">
        <v>143</v>
      </c>
      <c r="O93" s="113">
        <v>-0.04</v>
      </c>
      <c r="P93" s="128">
        <v>3450</v>
      </c>
      <c r="Q93" s="113">
        <f t="shared" si="16"/>
        <v>-5.1105555555555536E-2</v>
      </c>
      <c r="R93" s="51"/>
      <c r="S93" s="113">
        <f t="shared" si="20"/>
        <v>5.1105555555555536E-2</v>
      </c>
      <c r="T93" s="113">
        <f t="shared" si="21"/>
        <v>5.1105555555555536E-2</v>
      </c>
      <c r="U93" s="113">
        <f t="shared" si="22"/>
        <v>5.1105555555555536E-2</v>
      </c>
      <c r="V93" s="113">
        <f t="shared" si="23"/>
        <v>-1.8894444444444471E-2</v>
      </c>
      <c r="W93" s="68"/>
      <c r="X93" s="8"/>
      <c r="Y93" s="8"/>
    </row>
    <row r="94" spans="1:25" x14ac:dyDescent="0.3">
      <c r="I94" s="70"/>
      <c r="J94" s="113">
        <f t="shared" si="14"/>
        <v>-4.8327777777777761E-2</v>
      </c>
      <c r="K94" s="113">
        <f t="shared" si="17"/>
        <v>-4.8327777777777761E-2</v>
      </c>
      <c r="L94" s="113">
        <f t="shared" si="18"/>
        <v>-4.8327777777777761E-2</v>
      </c>
      <c r="M94" s="113">
        <f t="shared" si="19"/>
        <v>-4.8327777777777761E-2</v>
      </c>
      <c r="N94" s="51" t="s">
        <v>143</v>
      </c>
      <c r="O94" s="113">
        <v>-0.04</v>
      </c>
      <c r="P94" s="128">
        <v>3475</v>
      </c>
      <c r="Q94" s="113">
        <f t="shared" si="16"/>
        <v>-4.8327777777777761E-2</v>
      </c>
      <c r="R94" s="51"/>
      <c r="S94" s="113">
        <f t="shared" si="20"/>
        <v>4.8327777777777761E-2</v>
      </c>
      <c r="T94" s="113">
        <f t="shared" si="21"/>
        <v>4.8327777777777761E-2</v>
      </c>
      <c r="U94" s="113">
        <f t="shared" si="22"/>
        <v>4.8327777777777761E-2</v>
      </c>
      <c r="V94" s="113">
        <f t="shared" si="23"/>
        <v>-2.1672222222222245E-2</v>
      </c>
      <c r="W94" s="68"/>
      <c r="X94" s="8"/>
      <c r="Y94" s="8"/>
    </row>
    <row r="95" spans="1:25" x14ac:dyDescent="0.3">
      <c r="I95" s="70"/>
      <c r="J95" s="113">
        <f t="shared" si="14"/>
        <v>-4.5549999999999979E-2</v>
      </c>
      <c r="K95" s="113">
        <f t="shared" si="17"/>
        <v>-4.5549999999999979E-2</v>
      </c>
      <c r="L95" s="113">
        <f t="shared" si="18"/>
        <v>-4.5549999999999979E-2</v>
      </c>
      <c r="M95" s="113">
        <f t="shared" si="19"/>
        <v>-4.5549999999999979E-2</v>
      </c>
      <c r="N95" s="51" t="s">
        <v>143</v>
      </c>
      <c r="O95" s="113">
        <v>-0.04</v>
      </c>
      <c r="P95" s="128">
        <v>3500</v>
      </c>
      <c r="Q95" s="113">
        <f t="shared" si="16"/>
        <v>-4.5549999999999979E-2</v>
      </c>
      <c r="R95" s="51"/>
      <c r="S95" s="113">
        <f t="shared" si="20"/>
        <v>4.5549999999999979E-2</v>
      </c>
      <c r="T95" s="113">
        <f t="shared" si="21"/>
        <v>4.5549999999999979E-2</v>
      </c>
      <c r="U95" s="113">
        <f t="shared" si="22"/>
        <v>4.5549999999999979E-2</v>
      </c>
      <c r="V95" s="113">
        <f t="shared" si="23"/>
        <v>-2.4450000000000027E-2</v>
      </c>
      <c r="W95" s="68"/>
      <c r="X95" s="8"/>
      <c r="Y95" s="8"/>
    </row>
    <row r="96" spans="1:25" x14ac:dyDescent="0.3">
      <c r="I96" s="70"/>
      <c r="J96" s="113">
        <f t="shared" si="14"/>
        <v>-4.2772222222222205E-2</v>
      </c>
      <c r="K96" s="113">
        <f t="shared" si="17"/>
        <v>-4.2772222222222205E-2</v>
      </c>
      <c r="L96" s="113">
        <f t="shared" si="18"/>
        <v>-4.2772222222222205E-2</v>
      </c>
      <c r="M96" s="113">
        <f t="shared" si="19"/>
        <v>-4.2772222222222205E-2</v>
      </c>
      <c r="N96" s="51" t="s">
        <v>143</v>
      </c>
      <c r="O96" s="113">
        <v>-0.04</v>
      </c>
      <c r="P96" s="128">
        <v>3525</v>
      </c>
      <c r="Q96" s="113">
        <f t="shared" si="16"/>
        <v>-4.2772222222222205E-2</v>
      </c>
      <c r="R96" s="51"/>
      <c r="S96" s="113">
        <f t="shared" si="20"/>
        <v>4.2772222222222205E-2</v>
      </c>
      <c r="T96" s="113">
        <f t="shared" si="21"/>
        <v>4.2772222222222205E-2</v>
      </c>
      <c r="U96" s="113">
        <f t="shared" si="22"/>
        <v>4.2772222222222205E-2</v>
      </c>
      <c r="V96" s="113">
        <f t="shared" si="23"/>
        <v>-2.7227777777777802E-2</v>
      </c>
      <c r="W96" s="68"/>
      <c r="X96" s="8"/>
      <c r="Y96" s="8"/>
    </row>
    <row r="97" spans="1:25" x14ac:dyDescent="0.3">
      <c r="I97" s="67"/>
      <c r="J97" s="113">
        <f t="shared" si="14"/>
        <v>-0.04</v>
      </c>
      <c r="K97" s="113">
        <f t="shared" si="17"/>
        <v>-0.04</v>
      </c>
      <c r="L97" s="113">
        <f t="shared" si="18"/>
        <v>-0.04</v>
      </c>
      <c r="M97" s="113">
        <f t="shared" si="19"/>
        <v>-0.04</v>
      </c>
      <c r="N97" s="51" t="s">
        <v>143</v>
      </c>
      <c r="O97" s="113">
        <v>-0.04</v>
      </c>
      <c r="P97" s="129">
        <f>P91+((B9-0.04)*(B11+B12+B13)*(B7))</f>
        <v>3549.95</v>
      </c>
      <c r="Q97" s="113">
        <f t="shared" si="16"/>
        <v>-0.04</v>
      </c>
      <c r="R97" s="51"/>
      <c r="S97" s="113">
        <f t="shared" si="20"/>
        <v>0.04</v>
      </c>
      <c r="T97" s="113">
        <f t="shared" si="21"/>
        <v>0.04</v>
      </c>
      <c r="U97" s="113">
        <f t="shared" si="22"/>
        <v>0.04</v>
      </c>
      <c r="V97" s="113">
        <f t="shared" si="23"/>
        <v>-3.0000000000000006E-2</v>
      </c>
      <c r="W97" s="69"/>
      <c r="X97" s="8"/>
      <c r="Y97" s="8"/>
    </row>
    <row r="98" spans="1:25" s="47" customFormat="1" x14ac:dyDescent="0.3">
      <c r="A98" s="46"/>
      <c r="B98" s="46"/>
      <c r="C98" s="46"/>
      <c r="D98" s="46"/>
      <c r="E98" s="46"/>
      <c r="F98" s="46"/>
      <c r="G98" s="46"/>
      <c r="H98" s="46"/>
      <c r="I98" s="71"/>
      <c r="J98" s="112">
        <v>-0.04</v>
      </c>
      <c r="K98" s="113">
        <f t="shared" si="17"/>
        <v>-3.9994444444444423E-2</v>
      </c>
      <c r="L98" s="113">
        <f t="shared" si="18"/>
        <v>-3.9994444444444423E-2</v>
      </c>
      <c r="M98" s="113">
        <f t="shared" si="19"/>
        <v>-3.9994444444444423E-2</v>
      </c>
      <c r="N98" s="51" t="s">
        <v>143</v>
      </c>
      <c r="O98" s="113">
        <v>-0.04</v>
      </c>
      <c r="P98" s="139">
        <v>3550</v>
      </c>
      <c r="Q98" s="115">
        <v>-0.04</v>
      </c>
      <c r="R98" s="60"/>
      <c r="S98" s="113">
        <f t="shared" si="20"/>
        <v>3.9994444444444423E-2</v>
      </c>
      <c r="T98" s="113">
        <f t="shared" si="21"/>
        <v>3.9994444444444423E-2</v>
      </c>
      <c r="U98" s="113">
        <f t="shared" si="22"/>
        <v>3.9994444444444423E-2</v>
      </c>
      <c r="V98" s="113">
        <f t="shared" si="23"/>
        <v>-3.0005555555555584E-2</v>
      </c>
      <c r="W98" s="72"/>
      <c r="X98" s="46"/>
      <c r="Y98" s="46"/>
    </row>
    <row r="99" spans="1:25" x14ac:dyDescent="0.3">
      <c r="I99" s="67"/>
      <c r="J99" s="112">
        <v>-0.04</v>
      </c>
      <c r="K99" s="113">
        <f t="shared" si="17"/>
        <v>-3.7216666666666648E-2</v>
      </c>
      <c r="L99" s="113">
        <f t="shared" si="18"/>
        <v>-3.7216666666666648E-2</v>
      </c>
      <c r="M99" s="113">
        <f t="shared" si="19"/>
        <v>-3.7216666666666648E-2</v>
      </c>
      <c r="N99" s="51" t="s">
        <v>143</v>
      </c>
      <c r="O99" s="113">
        <v>-0.04</v>
      </c>
      <c r="P99" s="127">
        <v>3575</v>
      </c>
      <c r="Q99" s="115">
        <v>-0.04</v>
      </c>
      <c r="R99" s="51"/>
      <c r="S99" s="113">
        <f t="shared" si="20"/>
        <v>3.7216666666666648E-2</v>
      </c>
      <c r="T99" s="113">
        <f t="shared" si="21"/>
        <v>3.7216666666666648E-2</v>
      </c>
      <c r="U99" s="113">
        <f t="shared" si="22"/>
        <v>3.7216666666666648E-2</v>
      </c>
      <c r="V99" s="113">
        <f t="shared" si="23"/>
        <v>-3.2783333333333359E-2</v>
      </c>
      <c r="W99" s="68"/>
      <c r="X99" s="8"/>
      <c r="Y99" s="8"/>
    </row>
    <row r="100" spans="1:25" x14ac:dyDescent="0.3">
      <c r="I100" s="70"/>
      <c r="J100" s="112">
        <v>-0.04</v>
      </c>
      <c r="K100" s="113">
        <f t="shared" si="17"/>
        <v>-3.4438888888888866E-2</v>
      </c>
      <c r="L100" s="113">
        <f t="shared" si="18"/>
        <v>-3.4438888888888866E-2</v>
      </c>
      <c r="M100" s="113">
        <f t="shared" si="19"/>
        <v>-3.4438888888888866E-2</v>
      </c>
      <c r="N100" s="51" t="s">
        <v>143</v>
      </c>
      <c r="O100" s="113">
        <v>-0.04</v>
      </c>
      <c r="P100" s="127">
        <v>3600</v>
      </c>
      <c r="Q100" s="115">
        <v>-0.04</v>
      </c>
      <c r="R100" s="51"/>
      <c r="S100" s="113">
        <f t="shared" si="20"/>
        <v>3.4438888888888866E-2</v>
      </c>
      <c r="T100" s="113">
        <f t="shared" si="21"/>
        <v>3.4438888888888866E-2</v>
      </c>
      <c r="U100" s="113">
        <f t="shared" si="22"/>
        <v>3.4438888888888866E-2</v>
      </c>
      <c r="V100" s="113">
        <f>-0.07+U100</f>
        <v>-3.5561111111111141E-2</v>
      </c>
      <c r="W100" s="68"/>
      <c r="X100" s="8"/>
      <c r="Y100" s="8"/>
    </row>
    <row r="101" spans="1:25" x14ac:dyDescent="0.3">
      <c r="I101" s="67"/>
      <c r="J101" s="112">
        <v>-0.04</v>
      </c>
      <c r="K101" s="113">
        <f t="shared" si="17"/>
        <v>-3.1661111111111091E-2</v>
      </c>
      <c r="L101" s="113">
        <f t="shared" si="18"/>
        <v>-3.1661111111111091E-2</v>
      </c>
      <c r="M101" s="113">
        <f t="shared" si="19"/>
        <v>-3.1661111111111091E-2</v>
      </c>
      <c r="N101" s="51" t="s">
        <v>143</v>
      </c>
      <c r="O101" s="113">
        <v>-0.04</v>
      </c>
      <c r="P101" s="127">
        <v>3625</v>
      </c>
      <c r="Q101" s="115">
        <v>-0.04</v>
      </c>
      <c r="R101" s="51"/>
      <c r="S101" s="113">
        <f t="shared" si="20"/>
        <v>3.1661111111111091E-2</v>
      </c>
      <c r="T101" s="113">
        <f t="shared" si="21"/>
        <v>3.1661111111111091E-2</v>
      </c>
      <c r="U101" s="113">
        <f t="shared" si="22"/>
        <v>3.1661111111111091E-2</v>
      </c>
      <c r="V101" s="113">
        <f>-0.07+U101</f>
        <v>-3.8338888888888915E-2</v>
      </c>
      <c r="W101" s="68"/>
      <c r="X101" s="8"/>
      <c r="Y101" s="8"/>
    </row>
    <row r="102" spans="1:25" x14ac:dyDescent="0.3">
      <c r="I102" s="70" t="s">
        <v>74</v>
      </c>
      <c r="J102" s="112">
        <v>-0.04</v>
      </c>
      <c r="K102" s="113">
        <f t="shared" si="17"/>
        <v>-0.03</v>
      </c>
      <c r="L102" s="113">
        <f t="shared" si="18"/>
        <v>-0.03</v>
      </c>
      <c r="M102" s="113">
        <f t="shared" si="19"/>
        <v>-0.03</v>
      </c>
      <c r="N102" s="51"/>
      <c r="O102" s="115">
        <v>-0.04</v>
      </c>
      <c r="P102" s="132">
        <f>P91+((B9-0.03)*(B11+B12+B13)*(B7))</f>
        <v>3639.95</v>
      </c>
      <c r="Q102" s="115">
        <v>-0.04</v>
      </c>
      <c r="R102" s="51"/>
      <c r="S102" s="113">
        <f t="shared" si="20"/>
        <v>0.03</v>
      </c>
      <c r="T102" s="113">
        <f t="shared" si="21"/>
        <v>0.03</v>
      </c>
      <c r="U102" s="113">
        <f t="shared" si="22"/>
        <v>0.03</v>
      </c>
      <c r="V102" s="112">
        <v>-0.04</v>
      </c>
      <c r="W102" s="68"/>
      <c r="X102" s="8"/>
      <c r="Y102" s="8"/>
    </row>
    <row r="103" spans="1:25" x14ac:dyDescent="0.3">
      <c r="I103" s="67"/>
      <c r="J103" s="112">
        <v>-0.04</v>
      </c>
      <c r="K103" s="113">
        <f t="shared" si="17"/>
        <v>-2.8883333333333313E-2</v>
      </c>
      <c r="L103" s="113">
        <f t="shared" si="18"/>
        <v>-2.8883333333333313E-2</v>
      </c>
      <c r="M103" s="113">
        <f t="shared" si="19"/>
        <v>-2.8883333333333313E-2</v>
      </c>
      <c r="N103" s="51"/>
      <c r="O103" s="115">
        <v>-0.04</v>
      </c>
      <c r="P103" s="127">
        <v>3650</v>
      </c>
      <c r="Q103" s="115">
        <v>-0.04</v>
      </c>
      <c r="R103" s="51"/>
      <c r="S103" s="113">
        <f t="shared" si="20"/>
        <v>2.8883333333333313E-2</v>
      </c>
      <c r="T103" s="113">
        <f t="shared" si="21"/>
        <v>2.8883333333333313E-2</v>
      </c>
      <c r="U103" s="113">
        <f t="shared" si="22"/>
        <v>2.8883333333333313E-2</v>
      </c>
      <c r="V103" s="112">
        <v>-0.04</v>
      </c>
      <c r="W103" s="68"/>
      <c r="X103" s="8"/>
      <c r="Y103" s="8"/>
    </row>
    <row r="104" spans="1:25" x14ac:dyDescent="0.3">
      <c r="I104" s="67"/>
      <c r="J104" s="112">
        <v>-0.04</v>
      </c>
      <c r="K104" s="113">
        <f t="shared" si="17"/>
        <v>-2.6105555555555535E-2</v>
      </c>
      <c r="L104" s="113">
        <f t="shared" si="18"/>
        <v>-2.6105555555555535E-2</v>
      </c>
      <c r="M104" s="113">
        <f t="shared" si="19"/>
        <v>-2.6105555555555535E-2</v>
      </c>
      <c r="N104" s="51"/>
      <c r="O104" s="115">
        <v>-0.04</v>
      </c>
      <c r="P104" s="127">
        <v>3675</v>
      </c>
      <c r="Q104" s="115">
        <v>-0.04</v>
      </c>
      <c r="R104" s="51"/>
      <c r="S104" s="113">
        <f t="shared" si="20"/>
        <v>2.6105555555555535E-2</v>
      </c>
      <c r="T104" s="113">
        <f t="shared" si="21"/>
        <v>2.6105555555555535E-2</v>
      </c>
      <c r="U104" s="113">
        <f t="shared" si="22"/>
        <v>2.6105555555555535E-2</v>
      </c>
      <c r="V104" s="112">
        <v>-0.04</v>
      </c>
      <c r="W104" s="68"/>
      <c r="X104" s="8"/>
      <c r="Y104" s="8"/>
    </row>
    <row r="105" spans="1:25" x14ac:dyDescent="0.3">
      <c r="I105" s="67"/>
      <c r="J105" s="112">
        <v>-0.04</v>
      </c>
      <c r="K105" s="113">
        <f t="shared" si="17"/>
        <v>-2.332777777777776E-2</v>
      </c>
      <c r="L105" s="113">
        <f t="shared" si="18"/>
        <v>-2.332777777777776E-2</v>
      </c>
      <c r="M105" s="113">
        <f t="shared" si="19"/>
        <v>-2.332777777777776E-2</v>
      </c>
      <c r="N105" s="51"/>
      <c r="O105" s="115">
        <v>-0.04</v>
      </c>
      <c r="P105" s="127">
        <v>3700</v>
      </c>
      <c r="Q105" s="115">
        <v>-0.04</v>
      </c>
      <c r="R105" s="51"/>
      <c r="S105" s="113">
        <f t="shared" si="20"/>
        <v>2.332777777777776E-2</v>
      </c>
      <c r="T105" s="113">
        <f t="shared" si="21"/>
        <v>2.332777777777776E-2</v>
      </c>
      <c r="U105" s="113">
        <f t="shared" si="22"/>
        <v>2.332777777777776E-2</v>
      </c>
      <c r="V105" s="112">
        <v>-0.04</v>
      </c>
      <c r="W105" s="68"/>
      <c r="X105" s="8"/>
      <c r="Y105" s="8"/>
    </row>
    <row r="106" spans="1:25" x14ac:dyDescent="0.3">
      <c r="I106" s="70" t="s">
        <v>130</v>
      </c>
      <c r="J106" s="112">
        <v>-0.04</v>
      </c>
      <c r="K106" s="113">
        <f t="shared" si="17"/>
        <v>-2.1666666666666667E-2</v>
      </c>
      <c r="L106" s="113">
        <f t="shared" si="18"/>
        <v>-2.1666666666666667E-2</v>
      </c>
      <c r="M106" s="113">
        <f t="shared" si="19"/>
        <v>-2.1666666666666667E-2</v>
      </c>
      <c r="N106" s="51"/>
      <c r="O106" s="115">
        <v>-0.04</v>
      </c>
      <c r="P106" s="132">
        <v>3714.95</v>
      </c>
      <c r="Q106" s="115">
        <v>-0.04</v>
      </c>
      <c r="R106" s="51"/>
      <c r="S106" s="113">
        <f t="shared" si="20"/>
        <v>2.1666666666666667E-2</v>
      </c>
      <c r="T106" s="113">
        <f t="shared" si="21"/>
        <v>2.1666666666666667E-2</v>
      </c>
      <c r="U106" s="113">
        <f t="shared" si="22"/>
        <v>2.1666666666666667E-2</v>
      </c>
      <c r="V106" s="112">
        <v>-0.04</v>
      </c>
      <c r="W106" s="68" t="s">
        <v>130</v>
      </c>
      <c r="X106" s="8"/>
      <c r="Y106" s="8"/>
    </row>
    <row r="107" spans="1:25" x14ac:dyDescent="0.3">
      <c r="I107" s="67"/>
      <c r="J107" s="112">
        <v>-0.04</v>
      </c>
      <c r="K107" s="113">
        <f t="shared" si="17"/>
        <v>-2.0549999999999978E-2</v>
      </c>
      <c r="L107" s="113">
        <f t="shared" si="18"/>
        <v>-2.0549999999999978E-2</v>
      </c>
      <c r="M107" s="113">
        <f t="shared" si="19"/>
        <v>-2.0549999999999978E-2</v>
      </c>
      <c r="N107" s="51"/>
      <c r="O107" s="115">
        <v>-0.04</v>
      </c>
      <c r="P107" s="127">
        <v>3725</v>
      </c>
      <c r="Q107" s="115">
        <v>-0.04</v>
      </c>
      <c r="R107" s="51"/>
      <c r="S107" s="113">
        <f t="shared" si="20"/>
        <v>2.0549999999999978E-2</v>
      </c>
      <c r="T107" s="113">
        <f t="shared" si="21"/>
        <v>2.0549999999999978E-2</v>
      </c>
      <c r="U107" s="113">
        <f t="shared" si="22"/>
        <v>2.0549999999999978E-2</v>
      </c>
      <c r="V107" s="112">
        <v>-0.04</v>
      </c>
      <c r="W107" s="68"/>
      <c r="X107" s="8"/>
      <c r="Y107" s="8"/>
    </row>
    <row r="108" spans="1:25" x14ac:dyDescent="0.3">
      <c r="I108" s="67"/>
      <c r="J108" s="112">
        <v>-0.04</v>
      </c>
      <c r="K108" s="113">
        <f t="shared" si="17"/>
        <v>-1.7772222222222203E-2</v>
      </c>
      <c r="L108" s="113">
        <f t="shared" si="18"/>
        <v>-1.7772222222222203E-2</v>
      </c>
      <c r="M108" s="113">
        <f t="shared" si="19"/>
        <v>-1.7772222222222203E-2</v>
      </c>
      <c r="N108" s="51"/>
      <c r="O108" s="115">
        <v>-0.04</v>
      </c>
      <c r="P108" s="127">
        <v>3750</v>
      </c>
      <c r="Q108" s="115">
        <v>-0.04</v>
      </c>
      <c r="R108" s="51"/>
      <c r="S108" s="113">
        <f t="shared" si="20"/>
        <v>1.7772222222222203E-2</v>
      </c>
      <c r="T108" s="113">
        <f t="shared" si="21"/>
        <v>1.7772222222222203E-2</v>
      </c>
      <c r="U108" s="113">
        <f t="shared" si="22"/>
        <v>1.7772222222222203E-2</v>
      </c>
      <c r="V108" s="112">
        <v>-0.04</v>
      </c>
      <c r="W108" s="68"/>
      <c r="X108" s="8"/>
      <c r="Y108" s="8"/>
    </row>
    <row r="109" spans="1:25" x14ac:dyDescent="0.3">
      <c r="I109" s="70" t="s">
        <v>83</v>
      </c>
      <c r="J109" s="112">
        <v>-0.04</v>
      </c>
      <c r="K109" s="113">
        <f t="shared" si="17"/>
        <v>-1.6E-2</v>
      </c>
      <c r="L109" s="113">
        <f t="shared" si="18"/>
        <v>-1.6E-2</v>
      </c>
      <c r="M109" s="113">
        <f t="shared" si="19"/>
        <v>-1.6E-2</v>
      </c>
      <c r="N109" s="51"/>
      <c r="O109" s="115">
        <v>-0.04</v>
      </c>
      <c r="P109" s="132">
        <f>P91+((B9-B10)*(B11+B12+B13)*(B7))</f>
        <v>3765.95</v>
      </c>
      <c r="Q109" s="115">
        <v>-0.04</v>
      </c>
      <c r="R109" s="51"/>
      <c r="S109" s="113">
        <f t="shared" si="20"/>
        <v>1.6E-2</v>
      </c>
      <c r="T109" s="113">
        <f t="shared" si="21"/>
        <v>1.6E-2</v>
      </c>
      <c r="U109" s="113">
        <f t="shared" si="22"/>
        <v>1.6E-2</v>
      </c>
      <c r="V109" s="112">
        <v>-0.04</v>
      </c>
      <c r="W109" s="68"/>
      <c r="X109" s="8"/>
      <c r="Y109" s="8"/>
    </row>
    <row r="110" spans="1:25" x14ac:dyDescent="0.3">
      <c r="I110" s="67"/>
      <c r="J110" s="112">
        <v>-0.04</v>
      </c>
      <c r="K110" s="112">
        <v>-1.6E-2</v>
      </c>
      <c r="L110" s="112">
        <v>-1.6E-2</v>
      </c>
      <c r="M110" s="113">
        <f t="shared" ref="M110:M115" si="24">$M$109+((P110-$P$109)/(($B$7)*($B$11)))</f>
        <v>-1.2983333333333274E-2</v>
      </c>
      <c r="N110" s="51"/>
      <c r="O110" s="115">
        <v>-0.04</v>
      </c>
      <c r="P110" s="127">
        <v>3775</v>
      </c>
      <c r="Q110" s="115">
        <v>-0.04</v>
      </c>
      <c r="R110" s="51"/>
      <c r="S110" s="112">
        <v>1.6E-2</v>
      </c>
      <c r="T110" s="113">
        <f t="shared" ref="T110:T122" si="25">$T$109-((P110-$P$109)/(($B$7)*($B$12+$B$13)))</f>
        <v>1.4491666666666637E-2</v>
      </c>
      <c r="U110" s="113">
        <f t="shared" ref="U110:U122" si="26">$U$109-((P110-$P$109)/(($B$7)*($B$12+$B$13)))</f>
        <v>1.4491666666666637E-2</v>
      </c>
      <c r="V110" s="112">
        <v>-0.04</v>
      </c>
      <c r="W110" s="68"/>
      <c r="X110" s="8"/>
      <c r="Y110" s="8"/>
    </row>
    <row r="111" spans="1:25" x14ac:dyDescent="0.3">
      <c r="I111" s="67"/>
      <c r="J111" s="112">
        <v>-0.04</v>
      </c>
      <c r="K111" s="112">
        <v>-1.6E-2</v>
      </c>
      <c r="L111" s="112">
        <v>-1.6E-2</v>
      </c>
      <c r="M111" s="113">
        <f t="shared" si="24"/>
        <v>0</v>
      </c>
      <c r="N111" s="51"/>
      <c r="O111" s="115">
        <v>-0.04</v>
      </c>
      <c r="P111" s="132">
        <f>P109+B32</f>
        <v>3813.95</v>
      </c>
      <c r="Q111" s="115">
        <v>-0.04</v>
      </c>
      <c r="R111" s="51"/>
      <c r="S111" s="112">
        <v>1.6E-2</v>
      </c>
      <c r="T111" s="113">
        <f t="shared" si="25"/>
        <v>8.0000000000000002E-3</v>
      </c>
      <c r="U111" s="113">
        <f t="shared" si="26"/>
        <v>8.0000000000000002E-3</v>
      </c>
      <c r="V111" s="112">
        <v>-0.04</v>
      </c>
      <c r="W111" s="68"/>
      <c r="X111" s="8"/>
      <c r="Y111" s="8"/>
    </row>
    <row r="112" spans="1:25" x14ac:dyDescent="0.3">
      <c r="I112" s="67"/>
      <c r="J112" s="112">
        <v>-0.04</v>
      </c>
      <c r="K112" s="112">
        <v>-1.6E-2</v>
      </c>
      <c r="L112" s="112">
        <v>-1.6E-2</v>
      </c>
      <c r="M112" s="113">
        <f t="shared" si="24"/>
        <v>-4.6499999999999389E-3</v>
      </c>
      <c r="N112" s="51"/>
      <c r="O112" s="115">
        <v>-0.04</v>
      </c>
      <c r="P112" s="127">
        <v>3800</v>
      </c>
      <c r="Q112" s="115">
        <v>-0.04</v>
      </c>
      <c r="R112" s="51"/>
      <c r="S112" s="112">
        <v>1.6E-2</v>
      </c>
      <c r="T112" s="113">
        <f t="shared" si="25"/>
        <v>1.032499999999997E-2</v>
      </c>
      <c r="U112" s="113">
        <f t="shared" si="26"/>
        <v>1.032499999999997E-2</v>
      </c>
      <c r="V112" s="112">
        <v>-0.04</v>
      </c>
      <c r="W112" s="68"/>
      <c r="X112" s="8"/>
      <c r="Y112" s="8"/>
    </row>
    <row r="113" spans="9:25" x14ac:dyDescent="0.3">
      <c r="I113" s="70"/>
      <c r="J113" s="112">
        <v>-0.04</v>
      </c>
      <c r="K113" s="112">
        <v>-1.6E-2</v>
      </c>
      <c r="L113" s="112">
        <v>-1.6E-2</v>
      </c>
      <c r="M113" s="113">
        <f t="shared" si="24"/>
        <v>0</v>
      </c>
      <c r="N113" s="51"/>
      <c r="O113" s="115">
        <v>-0.04</v>
      </c>
      <c r="P113" s="132">
        <f>P109+(B17/2)</f>
        <v>3813.95</v>
      </c>
      <c r="Q113" s="115">
        <v>-0.04</v>
      </c>
      <c r="R113" s="51"/>
      <c r="S113" s="112">
        <v>1.6E-2</v>
      </c>
      <c r="T113" s="113">
        <f t="shared" si="25"/>
        <v>8.0000000000000002E-3</v>
      </c>
      <c r="U113" s="113">
        <f t="shared" si="26"/>
        <v>8.0000000000000002E-3</v>
      </c>
      <c r="V113" s="112">
        <v>-0.04</v>
      </c>
      <c r="W113" s="68"/>
      <c r="X113" s="8"/>
      <c r="Y113" s="8"/>
    </row>
    <row r="114" spans="9:25" x14ac:dyDescent="0.3">
      <c r="I114" s="67"/>
      <c r="J114" s="112">
        <v>-0.04</v>
      </c>
      <c r="K114" s="112">
        <v>-1.6E-2</v>
      </c>
      <c r="L114" s="112">
        <v>-1.6E-2</v>
      </c>
      <c r="M114" s="113">
        <f t="shared" si="24"/>
        <v>3.6833333333333926E-3</v>
      </c>
      <c r="N114" s="51"/>
      <c r="O114" s="115">
        <v>-0.04</v>
      </c>
      <c r="P114" s="127">
        <v>3825</v>
      </c>
      <c r="Q114" s="115">
        <v>-0.04</v>
      </c>
      <c r="R114" s="51"/>
      <c r="S114" s="112">
        <v>1.6E-2</v>
      </c>
      <c r="T114" s="113">
        <f t="shared" si="25"/>
        <v>6.1583333333333039E-3</v>
      </c>
      <c r="U114" s="113">
        <f t="shared" si="26"/>
        <v>6.1583333333333039E-3</v>
      </c>
      <c r="V114" s="112">
        <v>-0.04</v>
      </c>
      <c r="W114" s="68"/>
      <c r="X114" s="8"/>
      <c r="Y114" s="8"/>
    </row>
    <row r="115" spans="9:25" x14ac:dyDescent="0.3">
      <c r="I115" s="70" t="s">
        <v>84</v>
      </c>
      <c r="J115" s="112">
        <v>-0.04</v>
      </c>
      <c r="K115" s="112">
        <v>-1.6E-2</v>
      </c>
      <c r="L115" s="112">
        <v>-1.6E-2</v>
      </c>
      <c r="M115" s="113">
        <f t="shared" si="24"/>
        <v>1.6E-2</v>
      </c>
      <c r="N115" s="51"/>
      <c r="O115" s="115">
        <v>-0.04</v>
      </c>
      <c r="P115" s="132">
        <f>P109+B32+B34</f>
        <v>3861.95</v>
      </c>
      <c r="Q115" s="115">
        <v>-0.04</v>
      </c>
      <c r="R115" s="51"/>
      <c r="S115" s="112">
        <v>1.6E-2</v>
      </c>
      <c r="T115" s="113">
        <f t="shared" si="25"/>
        <v>0</v>
      </c>
      <c r="U115" s="113">
        <f t="shared" si="26"/>
        <v>0</v>
      </c>
      <c r="V115" s="112">
        <v>-0.04</v>
      </c>
      <c r="W115" s="68"/>
      <c r="X115" s="8"/>
      <c r="Y115" s="8"/>
    </row>
    <row r="116" spans="9:25" x14ac:dyDescent="0.3">
      <c r="I116" s="67"/>
      <c r="J116" s="112">
        <v>-0.04</v>
      </c>
      <c r="K116" s="112">
        <v>-1.6E-2</v>
      </c>
      <c r="L116" s="112">
        <v>-1.6E-2</v>
      </c>
      <c r="M116" s="112">
        <v>-1.6E-2</v>
      </c>
      <c r="N116" s="51"/>
      <c r="O116" s="115">
        <v>-0.04</v>
      </c>
      <c r="P116" s="127">
        <v>3850</v>
      </c>
      <c r="Q116" s="115">
        <v>-0.04</v>
      </c>
      <c r="R116" s="51"/>
      <c r="S116" s="112">
        <v>1.6E-2</v>
      </c>
      <c r="T116" s="113">
        <f t="shared" si="25"/>
        <v>1.9916666666666364E-3</v>
      </c>
      <c r="U116" s="113">
        <f t="shared" si="26"/>
        <v>1.9916666666666364E-3</v>
      </c>
      <c r="V116" s="112">
        <v>-0.04</v>
      </c>
      <c r="W116" s="68"/>
      <c r="X116" s="8"/>
      <c r="Y116" s="8"/>
    </row>
    <row r="117" spans="9:25" x14ac:dyDescent="0.3">
      <c r="I117" s="67"/>
      <c r="J117" s="112">
        <v>-0.04</v>
      </c>
      <c r="K117" s="112">
        <v>-1.6E-2</v>
      </c>
      <c r="L117" s="112">
        <v>-1.6E-2</v>
      </c>
      <c r="M117" s="112">
        <v>-1.6E-2</v>
      </c>
      <c r="N117" s="51"/>
      <c r="O117" s="115">
        <v>-0.04</v>
      </c>
      <c r="P117" s="132">
        <f>P109+B17</f>
        <v>3861.95</v>
      </c>
      <c r="Q117" s="115">
        <v>-0.04</v>
      </c>
      <c r="R117" s="51"/>
      <c r="S117" s="112">
        <v>1.6E-2</v>
      </c>
      <c r="T117" s="113">
        <f t="shared" si="25"/>
        <v>0</v>
      </c>
      <c r="U117" s="113">
        <f t="shared" si="26"/>
        <v>0</v>
      </c>
      <c r="V117" s="112">
        <v>-0.04</v>
      </c>
      <c r="W117" s="68" t="s">
        <v>81</v>
      </c>
      <c r="X117" s="8"/>
      <c r="Y117" s="8"/>
    </row>
    <row r="118" spans="9:25" x14ac:dyDescent="0.3">
      <c r="I118" s="67"/>
      <c r="J118" s="112">
        <v>-0.04</v>
      </c>
      <c r="K118" s="112">
        <v>-1.6E-2</v>
      </c>
      <c r="L118" s="112">
        <v>-1.6E-2</v>
      </c>
      <c r="M118" s="112">
        <v>1.6E-2</v>
      </c>
      <c r="N118" s="51"/>
      <c r="O118" s="115">
        <v>-0.04</v>
      </c>
      <c r="P118" s="127">
        <v>3875</v>
      </c>
      <c r="Q118" s="115">
        <v>-0.04</v>
      </c>
      <c r="R118" s="51"/>
      <c r="S118" s="112">
        <v>1.6E-2</v>
      </c>
      <c r="T118" s="113">
        <f t="shared" si="25"/>
        <v>-2.1750000000000311E-3</v>
      </c>
      <c r="U118" s="113">
        <f t="shared" si="26"/>
        <v>-2.1750000000000311E-3</v>
      </c>
      <c r="V118" s="112">
        <v>-0.04</v>
      </c>
      <c r="W118" s="68"/>
      <c r="X118" s="8"/>
      <c r="Y118" s="8"/>
    </row>
    <row r="119" spans="9:25" x14ac:dyDescent="0.3">
      <c r="I119" s="67"/>
      <c r="J119" s="112">
        <v>-0.04</v>
      </c>
      <c r="K119" s="112">
        <v>-1.6E-2</v>
      </c>
      <c r="L119" s="112">
        <v>-1.6E-2</v>
      </c>
      <c r="M119" s="112">
        <v>1.6E-2</v>
      </c>
      <c r="N119" s="51"/>
      <c r="O119" s="115">
        <v>-0.04</v>
      </c>
      <c r="P119" s="127">
        <v>3900</v>
      </c>
      <c r="Q119" s="115">
        <v>-0.04</v>
      </c>
      <c r="R119" s="51"/>
      <c r="S119" s="112">
        <v>1.6E-2</v>
      </c>
      <c r="T119" s="113">
        <f t="shared" si="25"/>
        <v>-6.3416666666666968E-3</v>
      </c>
      <c r="U119" s="113">
        <f t="shared" si="26"/>
        <v>-6.3416666666666968E-3</v>
      </c>
      <c r="V119" s="112">
        <v>-0.04</v>
      </c>
      <c r="W119" s="68"/>
      <c r="X119" s="8"/>
      <c r="Y119" s="8"/>
    </row>
    <row r="120" spans="9:25" x14ac:dyDescent="0.3">
      <c r="I120" s="67"/>
      <c r="J120" s="112">
        <v>-0.04</v>
      </c>
      <c r="K120" s="112">
        <v>-1.6E-2</v>
      </c>
      <c r="L120" s="112">
        <v>-1.6E-2</v>
      </c>
      <c r="M120" s="112">
        <v>1.6E-2</v>
      </c>
      <c r="N120" s="51"/>
      <c r="O120" s="115">
        <v>-0.04</v>
      </c>
      <c r="P120" s="127">
        <v>3925</v>
      </c>
      <c r="Q120" s="115">
        <v>-0.04</v>
      </c>
      <c r="R120" s="51"/>
      <c r="S120" s="112">
        <v>1.6E-2</v>
      </c>
      <c r="T120" s="113">
        <f t="shared" si="25"/>
        <v>-1.0508333333333363E-2</v>
      </c>
      <c r="U120" s="113">
        <f t="shared" si="26"/>
        <v>-1.0508333333333363E-2</v>
      </c>
      <c r="V120" s="112">
        <v>-0.04</v>
      </c>
      <c r="W120" s="68"/>
      <c r="X120" s="8"/>
      <c r="Y120" s="8"/>
    </row>
    <row r="121" spans="9:25" x14ac:dyDescent="0.3">
      <c r="I121" s="67"/>
      <c r="J121" s="112">
        <v>-0.04</v>
      </c>
      <c r="K121" s="112">
        <v>-1.6E-2</v>
      </c>
      <c r="L121" s="112">
        <v>-1.6E-2</v>
      </c>
      <c r="M121" s="112">
        <v>1.6E-2</v>
      </c>
      <c r="N121" s="51"/>
      <c r="O121" s="115">
        <v>-0.04</v>
      </c>
      <c r="P121" s="127">
        <v>3950</v>
      </c>
      <c r="Q121" s="115">
        <v>-0.04</v>
      </c>
      <c r="R121" s="51"/>
      <c r="S121" s="112">
        <v>1.6E-2</v>
      </c>
      <c r="T121" s="113">
        <f t="shared" si="25"/>
        <v>-1.4675000000000028E-2</v>
      </c>
      <c r="U121" s="113">
        <f t="shared" si="26"/>
        <v>-1.4675000000000028E-2</v>
      </c>
      <c r="V121" s="112">
        <v>-0.04</v>
      </c>
      <c r="W121" s="68"/>
      <c r="X121" s="8"/>
      <c r="Y121" s="8"/>
    </row>
    <row r="122" spans="9:25" ht="15" thickBot="1" x14ac:dyDescent="0.35">
      <c r="I122" s="73"/>
      <c r="J122" s="112">
        <v>-0.04</v>
      </c>
      <c r="K122" s="112">
        <v>-1.6E-2</v>
      </c>
      <c r="L122" s="112">
        <v>-1.6E-2</v>
      </c>
      <c r="M122" s="117">
        <v>1.6E-2</v>
      </c>
      <c r="N122" s="76"/>
      <c r="O122" s="115">
        <v>-0.04</v>
      </c>
      <c r="P122" s="133">
        <f>P91+B19+B15</f>
        <v>3957.95</v>
      </c>
      <c r="Q122" s="116">
        <v>-0.04</v>
      </c>
      <c r="R122" s="76"/>
      <c r="S122" s="117">
        <v>1.6E-2</v>
      </c>
      <c r="T122" s="113">
        <f t="shared" si="25"/>
        <v>-1.6E-2</v>
      </c>
      <c r="U122" s="113">
        <f t="shared" si="26"/>
        <v>-1.6E-2</v>
      </c>
      <c r="V122" s="117">
        <v>-0.04</v>
      </c>
      <c r="W122" s="80" t="s">
        <v>84</v>
      </c>
      <c r="X122" s="8"/>
      <c r="Y122" s="8"/>
    </row>
    <row r="123" spans="9:25" x14ac:dyDescent="0.3">
      <c r="I123" s="8"/>
      <c r="J123" s="1"/>
      <c r="K123" s="1"/>
      <c r="L123" s="1"/>
      <c r="M123" s="1"/>
      <c r="N123" s="1"/>
      <c r="O123" s="1"/>
      <c r="P123" s="42"/>
      <c r="Q123" s="1"/>
      <c r="R123" s="1"/>
      <c r="W123" s="35"/>
      <c r="X123" s="8"/>
      <c r="Y123" s="8"/>
    </row>
    <row r="124" spans="9:25" x14ac:dyDescent="0.3">
      <c r="I124" s="8"/>
      <c r="J124" s="1"/>
      <c r="K124" s="1"/>
      <c r="L124" s="1"/>
      <c r="M124" s="1"/>
      <c r="N124" s="1"/>
      <c r="O124" s="1"/>
      <c r="P124" s="42"/>
      <c r="Q124" s="1"/>
      <c r="R124" s="1"/>
      <c r="W124" s="35"/>
      <c r="X124" s="8"/>
      <c r="Y124" s="8"/>
    </row>
    <row r="125" spans="9:25" x14ac:dyDescent="0.3">
      <c r="I125" s="8"/>
      <c r="J125" s="1"/>
      <c r="K125" s="1"/>
      <c r="L125" s="1"/>
      <c r="M125" s="1"/>
      <c r="N125" s="1"/>
      <c r="O125" s="1"/>
      <c r="P125" s="42"/>
      <c r="Q125" s="1"/>
      <c r="R125" s="1"/>
      <c r="W125" s="35"/>
      <c r="X125" s="8"/>
      <c r="Y125" s="8"/>
    </row>
    <row r="126" spans="9:25" x14ac:dyDescent="0.3">
      <c r="I126" s="8"/>
      <c r="J126" s="1"/>
      <c r="K126" s="1"/>
      <c r="L126" s="1"/>
      <c r="M126" s="1"/>
      <c r="N126" s="1"/>
      <c r="O126" s="1"/>
      <c r="P126" s="42"/>
      <c r="W126" s="35"/>
      <c r="X126" s="8"/>
      <c r="Y126" s="8"/>
    </row>
    <row r="127" spans="9:25" x14ac:dyDescent="0.3">
      <c r="I127" s="8"/>
      <c r="J127" s="1"/>
      <c r="K127" s="1"/>
      <c r="L127" s="1"/>
      <c r="M127" s="1"/>
      <c r="N127" s="1"/>
      <c r="O127" s="1"/>
      <c r="P127" s="42"/>
      <c r="W127" s="35"/>
      <c r="X127" s="8"/>
      <c r="Y127" s="8"/>
    </row>
    <row r="128" spans="9:25" x14ac:dyDescent="0.3">
      <c r="I128" s="8"/>
      <c r="J128" s="1"/>
      <c r="K128" s="1"/>
      <c r="L128" s="1"/>
      <c r="M128" s="1"/>
      <c r="N128" s="1"/>
      <c r="O128" s="1"/>
      <c r="P128" s="42"/>
      <c r="W128" s="35"/>
      <c r="X128" s="8"/>
      <c r="Y128" s="8"/>
    </row>
    <row r="129" spans="9:25" x14ac:dyDescent="0.3">
      <c r="I129" s="8"/>
      <c r="J129" s="1"/>
      <c r="K129" s="1"/>
      <c r="L129" s="1"/>
      <c r="M129" s="1"/>
      <c r="N129" s="1"/>
      <c r="O129" s="1"/>
      <c r="P129" s="42"/>
      <c r="W129" s="35"/>
      <c r="X129" s="8"/>
      <c r="Y129" s="8"/>
    </row>
    <row r="130" spans="9:25" x14ac:dyDescent="0.3">
      <c r="I130" s="8"/>
      <c r="J130" s="1"/>
      <c r="K130" s="1"/>
      <c r="L130" s="1"/>
      <c r="M130" s="1"/>
      <c r="N130" s="1"/>
      <c r="O130" s="1"/>
      <c r="P130" s="42"/>
      <c r="W130" s="35"/>
      <c r="X130" s="8"/>
      <c r="Y130" s="8"/>
    </row>
  </sheetData>
  <mergeCells count="10">
    <mergeCell ref="D32:F37"/>
    <mergeCell ref="J53:O53"/>
    <mergeCell ref="Q53:V53"/>
    <mergeCell ref="J85:V87"/>
    <mergeCell ref="A1:C1"/>
    <mergeCell ref="A14:C14"/>
    <mergeCell ref="D14:F14"/>
    <mergeCell ref="D15:F22"/>
    <mergeCell ref="A31:C31"/>
    <mergeCell ref="D31:F3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D06A-7ABC-4FA9-80AC-0295B272A77E}">
  <dimension ref="A1:Y114"/>
  <sheetViews>
    <sheetView topLeftCell="A12" zoomScaleNormal="100" workbookViewId="0">
      <selection activeCell="L89" sqref="L89"/>
    </sheetView>
  </sheetViews>
  <sheetFormatPr defaultRowHeight="14.4" x14ac:dyDescent="0.3"/>
  <cols>
    <col min="1" max="2" width="17.77734375" style="8" bestFit="1" customWidth="1"/>
    <col min="3" max="3" width="59.77734375" style="8" customWidth="1"/>
    <col min="4" max="5" width="17.77734375" style="8" customWidth="1"/>
    <col min="6" max="6" width="59.77734375" style="8" customWidth="1"/>
    <col min="7" max="7" width="7.109375" style="8" bestFit="1" customWidth="1"/>
    <col min="8" max="8" width="15.6640625" style="8" customWidth="1"/>
    <col min="9" max="9" width="55.88671875" bestFit="1" customWidth="1"/>
    <col min="10" max="10" width="11.109375" style="40" bestFit="1" customWidth="1"/>
    <col min="11" max="13" width="12.33203125" style="40" bestFit="1" customWidth="1"/>
    <col min="14" max="14" width="19.88671875" style="40" bestFit="1" customWidth="1"/>
    <col min="15" max="15" width="17.33203125" style="40" bestFit="1" customWidth="1"/>
    <col min="16" max="16" width="23" style="41" bestFit="1" customWidth="1"/>
    <col min="17" max="17" width="17" style="42" bestFit="1" customWidth="1"/>
    <col min="18" max="18" width="19.88671875" style="42" customWidth="1"/>
    <col min="19" max="19" width="12.44140625" style="1" bestFit="1" customWidth="1"/>
    <col min="20" max="21" width="12.44140625" style="1" customWidth="1"/>
    <col min="22" max="22" width="11.109375" style="1" customWidth="1"/>
    <col min="23" max="23" width="45.77734375" style="45" bestFit="1" customWidth="1"/>
  </cols>
  <sheetData>
    <row r="1" spans="1:25" ht="63" customHeight="1" thickBot="1" x14ac:dyDescent="0.35">
      <c r="A1" s="167" t="s">
        <v>134</v>
      </c>
      <c r="B1" s="168"/>
      <c r="C1" s="168"/>
      <c r="D1" s="81"/>
      <c r="E1" s="81"/>
      <c r="F1" s="81"/>
      <c r="G1" s="81"/>
      <c r="H1" s="126"/>
      <c r="I1" s="81"/>
    </row>
    <row r="2" spans="1:25" x14ac:dyDescent="0.3">
      <c r="A2" s="43" t="s">
        <v>42</v>
      </c>
      <c r="B2" s="136">
        <v>5014.0200000000004</v>
      </c>
      <c r="C2" s="82"/>
      <c r="D2"/>
      <c r="E2"/>
      <c r="F2"/>
      <c r="G2"/>
      <c r="H2"/>
    </row>
    <row r="3" spans="1:25" x14ac:dyDescent="0.3">
      <c r="A3" s="44" t="s">
        <v>43</v>
      </c>
      <c r="B3" s="122">
        <v>4359.22</v>
      </c>
      <c r="C3" s="83" t="s">
        <v>124</v>
      </c>
      <c r="D3"/>
      <c r="E3"/>
      <c r="F3"/>
      <c r="G3"/>
      <c r="H3"/>
    </row>
    <row r="4" spans="1:25" x14ac:dyDescent="0.3">
      <c r="A4" s="44" t="s">
        <v>44</v>
      </c>
      <c r="B4" s="122">
        <v>5663.53</v>
      </c>
      <c r="C4" s="83"/>
      <c r="D4"/>
      <c r="E4" s="125"/>
      <c r="F4" s="125"/>
      <c r="G4"/>
      <c r="H4"/>
    </row>
    <row r="5" spans="1:25" ht="16.2" x14ac:dyDescent="0.3">
      <c r="A5" s="44" t="s">
        <v>1</v>
      </c>
      <c r="B5" s="37" t="s">
        <v>122</v>
      </c>
      <c r="C5" s="83" t="s">
        <v>102</v>
      </c>
      <c r="D5"/>
      <c r="E5"/>
      <c r="F5"/>
      <c r="G5"/>
      <c r="H5"/>
    </row>
    <row r="6" spans="1:25" x14ac:dyDescent="0.3">
      <c r="A6" s="44" t="s">
        <v>45</v>
      </c>
      <c r="B6" s="37" t="s">
        <v>6</v>
      </c>
      <c r="C6" s="83"/>
      <c r="D6"/>
      <c r="E6"/>
      <c r="F6"/>
      <c r="G6"/>
      <c r="H6"/>
    </row>
    <row r="7" spans="1:25" x14ac:dyDescent="0.3">
      <c r="A7" s="44" t="s">
        <v>46</v>
      </c>
      <c r="B7" s="37">
        <v>250</v>
      </c>
      <c r="C7" s="83"/>
      <c r="D7"/>
      <c r="E7"/>
      <c r="F7"/>
      <c r="G7"/>
      <c r="H7"/>
    </row>
    <row r="8" spans="1:25" x14ac:dyDescent="0.3">
      <c r="A8" s="44" t="s">
        <v>8</v>
      </c>
      <c r="B8" s="38" t="s">
        <v>123</v>
      </c>
      <c r="C8" s="37" t="s">
        <v>48</v>
      </c>
      <c r="I8" s="8"/>
      <c r="K8" s="1"/>
      <c r="L8" s="1"/>
      <c r="M8" s="1"/>
      <c r="N8" s="1"/>
      <c r="O8" s="1"/>
      <c r="P8" s="42"/>
      <c r="W8" s="35"/>
      <c r="X8" s="8"/>
      <c r="Y8" s="8"/>
    </row>
    <row r="9" spans="1:25" x14ac:dyDescent="0.3">
      <c r="A9" s="44"/>
      <c r="B9" s="39">
        <v>3.3000000000000002E-2</v>
      </c>
      <c r="C9" s="83" t="s">
        <v>49</v>
      </c>
      <c r="D9"/>
      <c r="E9"/>
      <c r="F9"/>
      <c r="G9"/>
      <c r="H9"/>
      <c r="O9" s="1"/>
      <c r="P9" s="42"/>
      <c r="W9" s="35"/>
      <c r="X9" s="8"/>
      <c r="Y9" s="8"/>
    </row>
    <row r="10" spans="1:25" x14ac:dyDescent="0.3">
      <c r="A10" s="44" t="s">
        <v>51</v>
      </c>
      <c r="B10" s="39">
        <v>1.6E-2</v>
      </c>
      <c r="C10" s="83"/>
      <c r="D10"/>
      <c r="E10"/>
      <c r="F10"/>
      <c r="G10"/>
      <c r="H10"/>
      <c r="O10" s="1"/>
      <c r="P10" s="42"/>
      <c r="W10" s="35"/>
      <c r="X10" s="8"/>
      <c r="Y10" s="8"/>
    </row>
    <row r="11" spans="1:25" x14ac:dyDescent="0.3">
      <c r="A11" s="37" t="s">
        <v>136</v>
      </c>
      <c r="B11" s="39">
        <v>12</v>
      </c>
      <c r="C11" s="140"/>
      <c r="D11"/>
      <c r="E11"/>
      <c r="F11"/>
      <c r="G11"/>
      <c r="H11"/>
      <c r="O11" s="1"/>
      <c r="P11" s="42"/>
      <c r="W11" s="35"/>
      <c r="X11" s="8"/>
      <c r="Y11" s="8"/>
    </row>
    <row r="12" spans="1:25" x14ac:dyDescent="0.3">
      <c r="A12" s="37" t="s">
        <v>137</v>
      </c>
      <c r="B12" s="39">
        <v>12</v>
      </c>
      <c r="C12" s="140"/>
      <c r="D12"/>
      <c r="E12"/>
      <c r="F12"/>
      <c r="G12"/>
      <c r="H12"/>
      <c r="O12" s="1"/>
      <c r="P12" s="42"/>
      <c r="W12" s="35"/>
      <c r="X12" s="8"/>
      <c r="Y12" s="8"/>
    </row>
    <row r="13" spans="1:25" ht="15" thickBot="1" x14ac:dyDescent="0.35">
      <c r="A13" s="142" t="s">
        <v>138</v>
      </c>
      <c r="B13" s="146">
        <v>12</v>
      </c>
      <c r="C13" s="140"/>
      <c r="D13"/>
      <c r="E13"/>
      <c r="F13"/>
      <c r="G13"/>
      <c r="H13"/>
      <c r="O13" s="1"/>
      <c r="P13" s="42"/>
      <c r="W13" s="35"/>
      <c r="X13" s="8"/>
      <c r="Y13" s="8"/>
    </row>
    <row r="14" spans="1:25" ht="15" thickBot="1" x14ac:dyDescent="0.35">
      <c r="A14" s="169" t="s">
        <v>93</v>
      </c>
      <c r="B14" s="170"/>
      <c r="C14" s="171"/>
      <c r="D14" s="169" t="s">
        <v>95</v>
      </c>
      <c r="E14" s="170"/>
      <c r="F14" s="171"/>
      <c r="G14"/>
      <c r="H14"/>
      <c r="O14" s="1"/>
      <c r="P14" s="42"/>
      <c r="W14" s="35"/>
      <c r="X14" s="8"/>
      <c r="Y14" s="8"/>
    </row>
    <row r="15" spans="1:25" x14ac:dyDescent="0.3">
      <c r="A15" s="92" t="s">
        <v>50</v>
      </c>
      <c r="B15" s="84">
        <f>(B13+B12)*(B10)*(B7)</f>
        <v>96</v>
      </c>
      <c r="C15" s="84" t="s">
        <v>61</v>
      </c>
      <c r="D15" s="175"/>
      <c r="E15" s="176"/>
      <c r="F15" s="177"/>
      <c r="I15" s="8"/>
      <c r="J15" s="1"/>
      <c r="K15" s="1"/>
      <c r="L15" s="1"/>
      <c r="M15" s="1"/>
      <c r="N15" s="1"/>
      <c r="O15" s="1"/>
      <c r="P15" s="42"/>
      <c r="W15" s="35"/>
      <c r="X15" s="8"/>
      <c r="Y15" s="8"/>
    </row>
    <row r="16" spans="1:25" x14ac:dyDescent="0.3">
      <c r="A16" s="92" t="s">
        <v>53</v>
      </c>
      <c r="B16" s="84" t="s">
        <v>54</v>
      </c>
      <c r="C16" s="84" t="s">
        <v>58</v>
      </c>
      <c r="D16" s="178"/>
      <c r="E16" s="179"/>
      <c r="F16" s="180"/>
      <c r="I16" s="8"/>
      <c r="J16" s="1"/>
      <c r="K16" s="1"/>
      <c r="L16" s="1"/>
      <c r="M16" s="1"/>
      <c r="N16" s="1"/>
      <c r="O16" s="1"/>
      <c r="P16" s="42"/>
      <c r="W16" s="35"/>
      <c r="X16" s="8"/>
      <c r="Y16" s="8"/>
    </row>
    <row r="17" spans="1:25" x14ac:dyDescent="0.3">
      <c r="A17" s="92" t="s">
        <v>55</v>
      </c>
      <c r="B17" s="84">
        <f>(B13+B12)*(B10)*(B7)</f>
        <v>96</v>
      </c>
      <c r="C17" s="84" t="s">
        <v>147</v>
      </c>
      <c r="D17" s="178"/>
      <c r="E17" s="179"/>
      <c r="F17" s="180"/>
      <c r="I17" s="8"/>
      <c r="J17" s="1"/>
      <c r="K17" s="1"/>
      <c r="L17" s="1"/>
      <c r="M17" s="1"/>
      <c r="N17" s="1"/>
      <c r="O17" s="1"/>
      <c r="P17" s="42"/>
      <c r="W17" s="35"/>
      <c r="X17" s="8"/>
      <c r="Y17" s="8"/>
    </row>
    <row r="18" spans="1:25" x14ac:dyDescent="0.3">
      <c r="A18" s="92" t="s">
        <v>56</v>
      </c>
      <c r="B18" s="84">
        <f>(B11+B12+B13)*(B9-B10)*(B7)</f>
        <v>153.00000000000003</v>
      </c>
      <c r="C18" s="84" t="s">
        <v>145</v>
      </c>
      <c r="D18" s="178"/>
      <c r="E18" s="179"/>
      <c r="F18" s="180"/>
      <c r="I18" s="8"/>
      <c r="J18" s="1"/>
      <c r="K18" s="1"/>
      <c r="L18" s="1"/>
      <c r="M18" s="1"/>
      <c r="N18" s="1"/>
      <c r="O18" s="1"/>
      <c r="P18" s="42"/>
      <c r="W18" s="35"/>
      <c r="X18" s="8"/>
      <c r="Y18" s="8"/>
    </row>
    <row r="19" spans="1:25" x14ac:dyDescent="0.3">
      <c r="A19" s="92" t="s">
        <v>53</v>
      </c>
      <c r="B19" s="84">
        <f>B17+B18</f>
        <v>249.00000000000003</v>
      </c>
      <c r="C19" s="84"/>
      <c r="D19" s="178"/>
      <c r="E19" s="179"/>
      <c r="F19" s="180"/>
      <c r="I19" s="8"/>
      <c r="J19" s="1"/>
      <c r="K19" s="1"/>
      <c r="L19" s="1"/>
      <c r="M19" s="1"/>
      <c r="N19" s="1"/>
      <c r="O19" s="1"/>
      <c r="P19" s="42"/>
      <c r="W19" s="35"/>
      <c r="X19" s="8"/>
      <c r="Y19" s="8"/>
    </row>
    <row r="20" spans="1:25" x14ac:dyDescent="0.3">
      <c r="A20" s="92" t="s">
        <v>62</v>
      </c>
      <c r="B20" s="147">
        <f>(2/3)*(B19)</f>
        <v>166</v>
      </c>
      <c r="C20" s="152"/>
      <c r="D20" s="178"/>
      <c r="E20" s="179"/>
      <c r="F20" s="180"/>
      <c r="I20" s="8"/>
      <c r="J20" s="1"/>
      <c r="K20" s="1"/>
      <c r="L20" s="1"/>
      <c r="M20" s="1"/>
      <c r="N20" s="1"/>
      <c r="O20" s="1"/>
      <c r="P20" s="42"/>
      <c r="W20" s="35"/>
      <c r="X20" s="8"/>
      <c r="Y20" s="8"/>
    </row>
    <row r="21" spans="1:25" x14ac:dyDescent="0.3">
      <c r="A21" s="92" t="s">
        <v>86</v>
      </c>
      <c r="B21" s="147">
        <f>(1/3)*(B19)</f>
        <v>83</v>
      </c>
      <c r="C21" s="84"/>
      <c r="D21" s="178"/>
      <c r="E21" s="179"/>
      <c r="F21" s="180"/>
      <c r="I21" s="8"/>
      <c r="J21" s="1"/>
      <c r="K21" s="1"/>
      <c r="L21" s="1"/>
      <c r="M21" s="1"/>
      <c r="N21" s="1"/>
      <c r="O21" s="1"/>
      <c r="P21" s="42"/>
      <c r="W21" s="35"/>
      <c r="X21" s="8"/>
      <c r="Y21" s="8"/>
    </row>
    <row r="22" spans="1:25" x14ac:dyDescent="0.3">
      <c r="A22" s="98"/>
      <c r="B22" s="99"/>
      <c r="C22" s="99"/>
      <c r="D22" s="181"/>
      <c r="E22" s="182"/>
      <c r="F22" s="183"/>
      <c r="I22" s="8"/>
      <c r="J22" s="1"/>
      <c r="K22" s="1"/>
      <c r="L22" s="1"/>
      <c r="M22" s="1"/>
      <c r="N22" s="1"/>
      <c r="O22" s="1"/>
      <c r="P22" s="42"/>
      <c r="W22" s="35"/>
      <c r="X22" s="8"/>
      <c r="Y22" s="8"/>
    </row>
    <row r="23" spans="1:25" x14ac:dyDescent="0.3">
      <c r="A23" s="92" t="s">
        <v>88</v>
      </c>
      <c r="B23" s="123">
        <f>(B24)-B15</f>
        <v>4097.22</v>
      </c>
      <c r="C23" s="84" t="s">
        <v>89</v>
      </c>
      <c r="D23" s="92" t="s">
        <v>90</v>
      </c>
      <c r="E23" s="123">
        <f>E25-(B21)</f>
        <v>5580.53</v>
      </c>
      <c r="F23" s="84" t="s">
        <v>98</v>
      </c>
      <c r="I23" s="8"/>
      <c r="J23" s="1"/>
      <c r="K23" s="1"/>
      <c r="L23" s="1"/>
      <c r="M23" s="1"/>
      <c r="N23" s="1"/>
      <c r="O23" s="1"/>
      <c r="P23" s="42"/>
      <c r="W23" s="35"/>
      <c r="X23" s="8"/>
      <c r="Y23" s="8"/>
    </row>
    <row r="24" spans="1:25" x14ac:dyDescent="0.3">
      <c r="A24" s="92"/>
      <c r="B24" s="123">
        <f>(B28)-(B20)</f>
        <v>4193.22</v>
      </c>
      <c r="C24" s="84" t="s">
        <v>96</v>
      </c>
      <c r="D24" s="92"/>
      <c r="E24" s="123">
        <f>E23+((B9-0.03)*(B11+B12+B13)*(B7))</f>
        <v>5607.53</v>
      </c>
      <c r="F24" s="96">
        <v>0.03</v>
      </c>
      <c r="I24" s="8"/>
      <c r="J24" s="1"/>
      <c r="K24" s="1"/>
      <c r="L24" s="1"/>
      <c r="M24" s="1"/>
      <c r="N24" s="1"/>
      <c r="O24" s="1"/>
      <c r="P24" s="42"/>
      <c r="W24" s="35"/>
      <c r="X24" s="8"/>
      <c r="Y24" s="8"/>
    </row>
    <row r="25" spans="1:25" x14ac:dyDescent="0.3">
      <c r="A25" s="92"/>
      <c r="B25" s="123">
        <f>B24+((B13+B12)*(B10-0.008)*(B7))</f>
        <v>4241.22</v>
      </c>
      <c r="C25" s="96">
        <v>8.0000000000000002E-3</v>
      </c>
      <c r="D25" s="92" t="s">
        <v>44</v>
      </c>
      <c r="E25" s="123">
        <f>B4</f>
        <v>5663.53</v>
      </c>
      <c r="F25" s="96" t="str">
        <f>D25</f>
        <v>PT</v>
      </c>
      <c r="I25" s="8"/>
      <c r="J25" s="1"/>
      <c r="K25" s="1"/>
      <c r="L25" s="1"/>
      <c r="M25" s="1"/>
      <c r="N25" s="1"/>
      <c r="O25" s="1"/>
      <c r="P25" s="42"/>
      <c r="W25" s="35"/>
      <c r="X25" s="8"/>
      <c r="Y25" s="8"/>
    </row>
    <row r="26" spans="1:25" x14ac:dyDescent="0.3">
      <c r="A26" s="92"/>
      <c r="B26" s="123">
        <f>B24+B15</f>
        <v>4289.22</v>
      </c>
      <c r="C26" s="96">
        <v>1.6E-2</v>
      </c>
      <c r="D26" s="92"/>
      <c r="E26" s="123"/>
      <c r="F26" s="96"/>
      <c r="I26" s="8"/>
      <c r="J26" s="1"/>
      <c r="K26" s="1"/>
      <c r="L26" s="1"/>
      <c r="M26" s="1"/>
      <c r="N26" s="1"/>
      <c r="O26" s="1"/>
      <c r="P26" s="42"/>
      <c r="W26" s="35"/>
      <c r="X26" s="8"/>
      <c r="Y26" s="8"/>
    </row>
    <row r="27" spans="1:25" x14ac:dyDescent="0.3">
      <c r="A27" s="92"/>
      <c r="B27" s="123"/>
      <c r="C27" s="96"/>
      <c r="D27" s="92"/>
      <c r="E27" s="123">
        <f>E23+((B9-B10)*(B11+B12+B13)*(B7))</f>
        <v>5733.53</v>
      </c>
      <c r="F27" s="96">
        <v>1.6E-2</v>
      </c>
      <c r="I27" s="8"/>
      <c r="J27" s="1"/>
      <c r="K27" s="1"/>
      <c r="L27" s="1"/>
      <c r="M27" s="1"/>
      <c r="N27" s="1"/>
      <c r="O27" s="1"/>
      <c r="P27" s="42"/>
      <c r="W27" s="35"/>
      <c r="X27" s="8"/>
      <c r="Y27" s="8"/>
    </row>
    <row r="28" spans="1:25" x14ac:dyDescent="0.3">
      <c r="A28" s="92" t="s">
        <v>43</v>
      </c>
      <c r="B28" s="123">
        <f>B3</f>
        <v>4359.22</v>
      </c>
      <c r="C28" s="84" t="str">
        <f>A28</f>
        <v>PC</v>
      </c>
      <c r="D28" s="92"/>
      <c r="E28" s="123">
        <f>E27+((B10-0.008)*(B12+B13)*(B7))</f>
        <v>5781.53</v>
      </c>
      <c r="F28" s="84">
        <v>0.8</v>
      </c>
      <c r="G28" s="100"/>
      <c r="H28" s="100"/>
      <c r="I28" s="8"/>
      <c r="J28" s="1"/>
      <c r="K28" s="1"/>
      <c r="L28" s="1"/>
      <c r="M28" s="1"/>
      <c r="N28" s="1"/>
      <c r="O28" s="1"/>
      <c r="P28" s="42"/>
      <c r="W28" s="35"/>
      <c r="X28" s="8"/>
      <c r="Y28" s="8"/>
    </row>
    <row r="29" spans="1:25" x14ac:dyDescent="0.3">
      <c r="A29" s="92"/>
      <c r="B29" s="123">
        <f>((B26)+((0.03-B10)*(B11+B12+B13)*(B7)))</f>
        <v>4415.22</v>
      </c>
      <c r="C29" s="96">
        <v>0.03</v>
      </c>
      <c r="D29" s="92"/>
      <c r="E29" s="123">
        <f>E25+B20</f>
        <v>5829.53</v>
      </c>
      <c r="F29" s="97" t="s">
        <v>99</v>
      </c>
      <c r="G29" s="100">
        <f>E29-E28</f>
        <v>48</v>
      </c>
      <c r="H29" s="100" t="s">
        <v>100</v>
      </c>
      <c r="I29" s="8"/>
      <c r="J29" s="1"/>
      <c r="K29" s="1"/>
      <c r="L29" s="1"/>
      <c r="M29" s="1"/>
      <c r="N29" s="1"/>
      <c r="O29" s="1"/>
      <c r="P29" s="42"/>
      <c r="W29" s="35"/>
      <c r="X29" s="8"/>
      <c r="Y29" s="8"/>
    </row>
    <row r="30" spans="1:25" ht="15" thickBot="1" x14ac:dyDescent="0.35">
      <c r="A30" s="101" t="s">
        <v>90</v>
      </c>
      <c r="B30" s="124">
        <f>B28+B21</f>
        <v>4442.22</v>
      </c>
      <c r="C30" s="103" t="s">
        <v>97</v>
      </c>
      <c r="D30" s="101" t="s">
        <v>88</v>
      </c>
      <c r="E30" s="124">
        <f>E29+B17</f>
        <v>5925.53</v>
      </c>
      <c r="F30" s="103" t="s">
        <v>84</v>
      </c>
      <c r="G30" s="100">
        <f>E30-E23</f>
        <v>345</v>
      </c>
      <c r="H30" s="8" t="s">
        <v>100</v>
      </c>
      <c r="I30" s="8"/>
      <c r="J30" s="1"/>
      <c r="K30" s="1"/>
      <c r="L30" s="1"/>
      <c r="M30" s="1"/>
      <c r="N30" s="1"/>
      <c r="O30" s="1"/>
      <c r="P30" s="42"/>
      <c r="W30" s="35"/>
      <c r="X30" s="8"/>
      <c r="Y30" s="8"/>
    </row>
    <row r="31" spans="1:25" ht="15" thickBot="1" x14ac:dyDescent="0.35">
      <c r="A31" s="172" t="s">
        <v>92</v>
      </c>
      <c r="B31" s="173"/>
      <c r="C31" s="174"/>
      <c r="D31" s="172" t="s">
        <v>94</v>
      </c>
      <c r="E31" s="173"/>
      <c r="F31" s="174"/>
      <c r="I31" s="8"/>
      <c r="J31" s="1"/>
      <c r="K31" s="1"/>
      <c r="L31" s="1"/>
      <c r="M31" s="1"/>
      <c r="N31" s="1"/>
      <c r="O31" s="1"/>
      <c r="P31" s="42"/>
      <c r="W31" s="35"/>
      <c r="X31" s="8"/>
      <c r="Y31" s="8"/>
    </row>
    <row r="32" spans="1:25" x14ac:dyDescent="0.3">
      <c r="A32" s="104" t="s">
        <v>50</v>
      </c>
      <c r="B32" s="89">
        <f>(B11)*(B10)*(B7)</f>
        <v>48</v>
      </c>
      <c r="C32" s="150" t="s">
        <v>139</v>
      </c>
      <c r="D32" s="175"/>
      <c r="E32" s="176"/>
      <c r="F32" s="177"/>
      <c r="I32" s="8"/>
      <c r="J32" s="1"/>
      <c r="K32" s="1"/>
      <c r="L32" s="1"/>
      <c r="M32" s="1"/>
      <c r="N32" s="1"/>
      <c r="O32" s="1"/>
      <c r="P32" s="42"/>
      <c r="W32" s="35"/>
      <c r="X32" s="8"/>
      <c r="Y32" s="8"/>
    </row>
    <row r="33" spans="1:25" x14ac:dyDescent="0.3">
      <c r="A33" s="92" t="s">
        <v>53</v>
      </c>
      <c r="B33" s="84" t="s">
        <v>54</v>
      </c>
      <c r="C33" s="150" t="s">
        <v>58</v>
      </c>
      <c r="D33" s="178"/>
      <c r="E33" s="179"/>
      <c r="F33" s="180"/>
      <c r="I33" s="8"/>
      <c r="J33" s="1"/>
      <c r="K33" s="1"/>
      <c r="L33" s="1"/>
      <c r="M33" s="1"/>
      <c r="N33" s="1"/>
      <c r="O33" s="1"/>
      <c r="P33" s="42"/>
      <c r="W33" s="35"/>
      <c r="X33" s="8"/>
      <c r="Y33" s="8"/>
    </row>
    <row r="34" spans="1:25" x14ac:dyDescent="0.3">
      <c r="A34" s="92" t="s">
        <v>55</v>
      </c>
      <c r="B34" s="84">
        <f>(B11)*(B10)*(B7)</f>
        <v>48</v>
      </c>
      <c r="C34" s="150" t="s">
        <v>144</v>
      </c>
      <c r="D34" s="178"/>
      <c r="E34" s="179"/>
      <c r="F34" s="180"/>
      <c r="I34" s="8"/>
      <c r="J34" s="1"/>
      <c r="K34" s="1"/>
      <c r="L34" s="1"/>
      <c r="M34" s="1"/>
      <c r="N34" s="1"/>
      <c r="O34" s="1"/>
      <c r="P34" s="42"/>
      <c r="W34" s="35"/>
      <c r="X34" s="8"/>
      <c r="Y34" s="8"/>
    </row>
    <row r="35" spans="1:25" x14ac:dyDescent="0.3">
      <c r="A35" s="92" t="s">
        <v>56</v>
      </c>
      <c r="B35" s="84">
        <f>(B11+B12+B13)*(B9-B10)*(B7)</f>
        <v>153.00000000000003</v>
      </c>
      <c r="C35" s="150" t="s">
        <v>146</v>
      </c>
      <c r="D35" s="178"/>
      <c r="E35" s="179"/>
      <c r="F35" s="180"/>
      <c r="I35" s="8"/>
      <c r="J35" s="1"/>
      <c r="K35" s="1"/>
      <c r="L35" s="1"/>
      <c r="M35" s="1"/>
      <c r="N35" s="1"/>
      <c r="O35" s="1"/>
      <c r="P35" s="42"/>
      <c r="W35" s="35"/>
      <c r="X35" s="8"/>
      <c r="Y35" s="8"/>
    </row>
    <row r="36" spans="1:25" ht="15" thickBot="1" x14ac:dyDescent="0.35">
      <c r="A36" s="92" t="s">
        <v>53</v>
      </c>
      <c r="B36" s="84">
        <f>B34+B35</f>
        <v>201.00000000000003</v>
      </c>
      <c r="C36" s="151"/>
      <c r="D36" s="178"/>
      <c r="E36" s="179"/>
      <c r="F36" s="180"/>
      <c r="I36" s="8"/>
      <c r="J36" s="1"/>
      <c r="K36" s="1"/>
      <c r="L36" s="1"/>
      <c r="M36" s="1"/>
      <c r="N36" s="1"/>
      <c r="O36" s="1"/>
      <c r="P36" s="42"/>
      <c r="W36" s="35"/>
      <c r="X36" s="8"/>
      <c r="Y36" s="8"/>
    </row>
    <row r="37" spans="1:25" ht="15" thickBot="1" x14ac:dyDescent="0.35">
      <c r="A37" s="106"/>
      <c r="B37" s="107"/>
      <c r="C37" s="107"/>
      <c r="D37" s="178"/>
      <c r="E37" s="179"/>
      <c r="F37" s="180"/>
      <c r="I37" s="8"/>
      <c r="J37" s="1"/>
      <c r="K37" s="1"/>
      <c r="L37" s="1"/>
      <c r="M37" s="1"/>
      <c r="N37" s="1"/>
      <c r="O37" s="1"/>
      <c r="P37" s="42"/>
      <c r="W37" s="35"/>
      <c r="X37" s="8"/>
      <c r="Y37" s="8"/>
    </row>
    <row r="38" spans="1:25" x14ac:dyDescent="0.3">
      <c r="A38" s="104" t="s">
        <v>88</v>
      </c>
      <c r="B38" s="134">
        <f>B40-B32-B34</f>
        <v>4193.22</v>
      </c>
      <c r="C38" s="89" t="s">
        <v>89</v>
      </c>
      <c r="D38" s="86" t="s">
        <v>90</v>
      </c>
      <c r="E38" s="134">
        <f>E23</f>
        <v>5580.53</v>
      </c>
      <c r="F38" s="89" t="s">
        <v>98</v>
      </c>
      <c r="I38" s="8"/>
      <c r="J38" s="1"/>
      <c r="K38" s="1"/>
      <c r="L38" s="1"/>
      <c r="M38" s="1"/>
      <c r="N38" s="1"/>
      <c r="O38" s="1"/>
      <c r="P38" s="42"/>
      <c r="W38" s="35"/>
      <c r="X38" s="8"/>
      <c r="Y38" s="8"/>
    </row>
    <row r="39" spans="1:25" x14ac:dyDescent="0.3">
      <c r="A39" s="92" t="s">
        <v>87</v>
      </c>
      <c r="B39" s="123">
        <f>B40-B32</f>
        <v>4241.22</v>
      </c>
      <c r="C39" s="84" t="s">
        <v>140</v>
      </c>
      <c r="D39" s="87"/>
      <c r="E39" s="123"/>
      <c r="F39" s="97"/>
      <c r="I39" s="8"/>
      <c r="J39" s="1"/>
      <c r="K39" s="1"/>
      <c r="L39" s="1"/>
      <c r="M39" s="1"/>
      <c r="N39" s="1"/>
      <c r="O39" s="1"/>
      <c r="P39" s="42"/>
      <c r="W39" s="35"/>
      <c r="X39" s="8"/>
      <c r="Y39" s="8"/>
    </row>
    <row r="40" spans="1:25" x14ac:dyDescent="0.3">
      <c r="A40" s="92"/>
      <c r="B40" s="123">
        <f>B26</f>
        <v>4289.22</v>
      </c>
      <c r="C40" s="96">
        <v>1.6E-2</v>
      </c>
      <c r="D40" s="87"/>
      <c r="E40" s="123">
        <f>E38+((B9-0.03)*(B11+B12+B13)*(B7))</f>
        <v>5607.53</v>
      </c>
      <c r="F40" s="96">
        <v>0.03</v>
      </c>
      <c r="I40" s="8"/>
      <c r="J40" s="1"/>
      <c r="K40" s="1"/>
      <c r="L40" s="1"/>
      <c r="M40" s="1"/>
      <c r="N40" s="1"/>
      <c r="O40" s="1"/>
      <c r="P40" s="42"/>
      <c r="W40" s="35"/>
      <c r="X40" s="8"/>
      <c r="Y40" s="8"/>
    </row>
    <row r="41" spans="1:25" x14ac:dyDescent="0.3">
      <c r="A41" s="92"/>
      <c r="B41" s="123">
        <f>B40+((0.03-B10)*(B11+B12+B13)*(B7))</f>
        <v>4415.22</v>
      </c>
      <c r="C41" s="96">
        <v>0.03</v>
      </c>
      <c r="D41" s="87"/>
      <c r="E41" s="123">
        <f>E38+((B9-B10)*(B11+B12+B13)*(B7))</f>
        <v>5733.53</v>
      </c>
      <c r="F41" s="96">
        <v>1.6E-2</v>
      </c>
      <c r="I41" s="8"/>
      <c r="J41" s="1"/>
      <c r="K41" s="1"/>
      <c r="L41" s="1"/>
      <c r="M41" s="1"/>
      <c r="N41" s="1"/>
      <c r="O41" s="1"/>
      <c r="P41" s="42"/>
      <c r="W41" s="35"/>
      <c r="X41" s="8"/>
      <c r="Y41" s="8"/>
    </row>
    <row r="42" spans="1:25" x14ac:dyDescent="0.3">
      <c r="A42" s="92"/>
      <c r="B42" s="123"/>
      <c r="C42" s="96"/>
      <c r="D42" s="87"/>
      <c r="E42" s="123">
        <f>E41+((B10)*(B11)*(B7))</f>
        <v>5781.53</v>
      </c>
      <c r="F42" s="96" t="s">
        <v>99</v>
      </c>
      <c r="I42" s="8"/>
      <c r="J42" s="1"/>
      <c r="K42" s="1"/>
      <c r="L42" s="1"/>
      <c r="M42" s="1"/>
      <c r="N42" s="1"/>
      <c r="O42" s="1"/>
      <c r="P42" s="42"/>
      <c r="W42" s="35"/>
      <c r="X42" s="8"/>
      <c r="Y42" s="8"/>
    </row>
    <row r="43" spans="1:25" ht="15" thickBot="1" x14ac:dyDescent="0.35">
      <c r="A43" s="93" t="s">
        <v>90</v>
      </c>
      <c r="B43" s="135">
        <f>B39+B36</f>
        <v>4442.22</v>
      </c>
      <c r="C43" s="105">
        <v>3.3000000000000002E-2</v>
      </c>
      <c r="D43" s="88"/>
      <c r="E43" s="135">
        <f>E41+((B10+B10)*(B11)*(B7))</f>
        <v>5829.53</v>
      </c>
      <c r="F43" s="85" t="s">
        <v>84</v>
      </c>
      <c r="I43" s="8"/>
      <c r="J43" s="1"/>
      <c r="K43" s="1"/>
      <c r="L43" s="1"/>
      <c r="M43" s="1"/>
      <c r="N43" s="1"/>
      <c r="O43" s="1"/>
      <c r="P43" s="42"/>
      <c r="W43" s="35"/>
      <c r="X43" s="8"/>
      <c r="Y43" s="8"/>
    </row>
    <row r="44" spans="1:25" x14ac:dyDescent="0.3">
      <c r="I44" s="8"/>
      <c r="J44" s="1"/>
      <c r="K44" s="1"/>
      <c r="L44" s="1"/>
      <c r="M44" s="1"/>
      <c r="N44" s="1"/>
      <c r="O44" s="1"/>
      <c r="P44" s="42"/>
      <c r="W44" s="35"/>
      <c r="X44" s="8"/>
      <c r="Y44" s="8"/>
    </row>
    <row r="45" spans="1:25" x14ac:dyDescent="0.3">
      <c r="I45" s="8"/>
      <c r="J45" s="1"/>
      <c r="K45" s="1"/>
      <c r="L45" s="1"/>
      <c r="M45" s="1"/>
      <c r="N45" s="1"/>
      <c r="O45" s="1"/>
      <c r="P45" s="42"/>
      <c r="W45" s="35"/>
      <c r="X45" s="8"/>
      <c r="Y45" s="8"/>
    </row>
    <row r="46" spans="1:25" x14ac:dyDescent="0.3">
      <c r="I46" s="8"/>
      <c r="J46" s="1"/>
      <c r="K46" s="1"/>
      <c r="L46" s="1"/>
      <c r="M46" s="1"/>
      <c r="N46" s="1"/>
      <c r="O46" s="1"/>
      <c r="P46" s="42"/>
      <c r="W46" s="35"/>
      <c r="X46" s="8"/>
      <c r="Y46" s="8"/>
    </row>
    <row r="47" spans="1:25" x14ac:dyDescent="0.3">
      <c r="I47" s="8"/>
      <c r="J47" s="1"/>
      <c r="K47" s="1"/>
      <c r="L47" s="1"/>
      <c r="M47" s="1"/>
      <c r="N47" s="1"/>
      <c r="O47" s="1"/>
      <c r="P47" s="42"/>
      <c r="W47" s="35"/>
      <c r="X47" s="8"/>
      <c r="Y47" s="8"/>
    </row>
    <row r="48" spans="1:25" x14ac:dyDescent="0.3">
      <c r="I48" s="8"/>
      <c r="J48" s="1"/>
      <c r="K48" s="1"/>
      <c r="L48" s="1"/>
      <c r="M48" s="1"/>
      <c r="N48" s="1"/>
      <c r="O48" s="1"/>
      <c r="P48" s="42"/>
      <c r="W48" s="35"/>
      <c r="X48" s="8"/>
      <c r="Y48" s="8"/>
    </row>
    <row r="49" spans="1:25" x14ac:dyDescent="0.3">
      <c r="I49" s="8"/>
      <c r="J49" s="1"/>
      <c r="K49" s="1"/>
      <c r="L49" s="1"/>
      <c r="M49" s="1"/>
      <c r="N49" s="1"/>
      <c r="O49" s="1"/>
      <c r="P49" s="42"/>
      <c r="W49" s="35"/>
      <c r="X49" s="8"/>
      <c r="Y49" s="8"/>
    </row>
    <row r="50" spans="1:25" x14ac:dyDescent="0.3">
      <c r="I50" s="8"/>
      <c r="J50" s="1"/>
      <c r="K50" s="1"/>
      <c r="L50" s="1"/>
      <c r="M50" s="1"/>
      <c r="N50" s="1"/>
      <c r="O50" s="1"/>
      <c r="P50" s="42"/>
      <c r="W50" s="35"/>
      <c r="X50" s="8"/>
      <c r="Y50" s="8"/>
    </row>
    <row r="51" spans="1:25" ht="15" thickBot="1" x14ac:dyDescent="0.35">
      <c r="I51" s="8"/>
      <c r="J51" s="1"/>
      <c r="K51" s="1"/>
      <c r="L51" s="1"/>
      <c r="M51" s="1"/>
      <c r="N51" s="1"/>
      <c r="O51" s="1"/>
      <c r="P51" s="42"/>
      <c r="W51" s="35"/>
      <c r="X51" s="8"/>
      <c r="Y51" s="8"/>
    </row>
    <row r="52" spans="1:25" x14ac:dyDescent="0.3">
      <c r="I52" s="63"/>
      <c r="J52" s="64"/>
      <c r="K52" s="64"/>
      <c r="L52" s="64"/>
      <c r="M52" s="64"/>
      <c r="N52" s="64"/>
      <c r="O52" s="64"/>
      <c r="P52" s="65"/>
      <c r="Q52" s="65"/>
      <c r="R52" s="65"/>
      <c r="S52" s="64"/>
      <c r="T52" s="64"/>
      <c r="U52" s="64"/>
      <c r="V52" s="64"/>
      <c r="W52" s="66"/>
      <c r="X52" s="8"/>
      <c r="Y52" s="8"/>
    </row>
    <row r="53" spans="1:25" x14ac:dyDescent="0.3">
      <c r="A53" s="35"/>
      <c r="I53" s="67"/>
      <c r="J53" s="165" t="s">
        <v>72</v>
      </c>
      <c r="K53" s="165"/>
      <c r="L53" s="165"/>
      <c r="M53" s="165"/>
      <c r="N53" s="165"/>
      <c r="O53" s="165"/>
      <c r="P53" s="49"/>
      <c r="Q53" s="164" t="s">
        <v>71</v>
      </c>
      <c r="R53" s="164"/>
      <c r="S53" s="164"/>
      <c r="T53" s="164"/>
      <c r="U53" s="164"/>
      <c r="V53" s="164"/>
      <c r="W53" s="68"/>
      <c r="X53" s="8"/>
      <c r="Y53" s="8"/>
    </row>
    <row r="54" spans="1:25" x14ac:dyDescent="0.3">
      <c r="I54" s="67"/>
      <c r="J54" s="48"/>
      <c r="K54" s="48"/>
      <c r="L54" s="48"/>
      <c r="M54" s="48"/>
      <c r="N54" s="48"/>
      <c r="O54" s="48"/>
      <c r="P54" s="49"/>
      <c r="Q54" s="49"/>
      <c r="R54" s="49"/>
      <c r="S54" s="48"/>
      <c r="T54" s="48"/>
      <c r="U54" s="48"/>
      <c r="V54" s="48"/>
      <c r="W54" s="68"/>
      <c r="X54" s="8"/>
      <c r="Y54" s="8"/>
    </row>
    <row r="55" spans="1:25" x14ac:dyDescent="0.3">
      <c r="I55" s="67"/>
      <c r="J55" s="48" t="s">
        <v>64</v>
      </c>
      <c r="K55" s="48" t="s">
        <v>68</v>
      </c>
      <c r="L55" s="48" t="s">
        <v>66</v>
      </c>
      <c r="M55" s="48" t="s">
        <v>65</v>
      </c>
      <c r="N55" s="50" t="s">
        <v>70</v>
      </c>
      <c r="O55" s="49" t="s">
        <v>67</v>
      </c>
      <c r="P55" s="50" t="s">
        <v>59</v>
      </c>
      <c r="Q55" s="49" t="s">
        <v>67</v>
      </c>
      <c r="R55" s="50" t="s">
        <v>70</v>
      </c>
      <c r="S55" s="48" t="s">
        <v>65</v>
      </c>
      <c r="T55" s="48" t="s">
        <v>66</v>
      </c>
      <c r="U55" s="48" t="s">
        <v>68</v>
      </c>
      <c r="V55" s="48" t="s">
        <v>64</v>
      </c>
      <c r="W55" s="68"/>
      <c r="X55" s="8"/>
      <c r="Y55" s="8"/>
    </row>
    <row r="56" spans="1:25" x14ac:dyDescent="0.3">
      <c r="I56" s="70" t="s">
        <v>78</v>
      </c>
      <c r="J56" s="112">
        <v>-0.04</v>
      </c>
      <c r="K56" s="112">
        <v>-1.6E-2</v>
      </c>
      <c r="L56" s="112">
        <v>-1.6E-2</v>
      </c>
      <c r="M56" s="112">
        <v>1.6E-2</v>
      </c>
      <c r="N56" s="51"/>
      <c r="O56" s="112">
        <v>-0.04</v>
      </c>
      <c r="P56" s="129">
        <f>(P60)-B15</f>
        <v>4097.22</v>
      </c>
      <c r="Q56" s="112">
        <v>-0.04</v>
      </c>
      <c r="R56" s="51"/>
      <c r="S56" s="112">
        <v>1.6E-2</v>
      </c>
      <c r="T56" s="112">
        <v>-1.6E-2</v>
      </c>
      <c r="U56" s="112">
        <v>-1.6E-2</v>
      </c>
      <c r="V56" s="112">
        <v>-0.04</v>
      </c>
      <c r="W56" s="69"/>
      <c r="X56" s="8"/>
      <c r="Y56" s="8"/>
    </row>
    <row r="57" spans="1:25" x14ac:dyDescent="0.3">
      <c r="I57" s="67"/>
      <c r="J57" s="112">
        <v>-0.04</v>
      </c>
      <c r="K57" s="113">
        <f t="shared" ref="K57:K66" si="0">$K$56+((P57-$P$56)/(($B$13+$B$12)*($B$7)))</f>
        <v>-1.1370000000000043E-2</v>
      </c>
      <c r="L57" s="113">
        <f t="shared" ref="L57:L66" si="1">$L$56+((P57-$P$56)/(($B$13+$B$12)*($B$7)))</f>
        <v>-1.1370000000000043E-2</v>
      </c>
      <c r="M57" s="112">
        <v>1.6E-2</v>
      </c>
      <c r="N57" s="51"/>
      <c r="O57" s="112">
        <v>-0.04</v>
      </c>
      <c r="P57" s="128">
        <v>4125</v>
      </c>
      <c r="Q57" s="112">
        <v>-0.04</v>
      </c>
      <c r="R57" s="51"/>
      <c r="S57" s="112">
        <v>1.6E-2</v>
      </c>
      <c r="T57" s="115">
        <v>-1.6E-2</v>
      </c>
      <c r="U57" s="115">
        <v>-1.6E-2</v>
      </c>
      <c r="V57" s="112">
        <v>-0.04</v>
      </c>
      <c r="W57" s="69"/>
      <c r="X57" s="8"/>
      <c r="Y57" s="8"/>
    </row>
    <row r="58" spans="1:25" x14ac:dyDescent="0.3">
      <c r="I58" s="67"/>
      <c r="J58" s="112">
        <v>-0.04</v>
      </c>
      <c r="K58" s="113">
        <f t="shared" si="0"/>
        <v>-7.2033333333333758E-3</v>
      </c>
      <c r="L58" s="113">
        <f t="shared" si="1"/>
        <v>-7.2033333333333758E-3</v>
      </c>
      <c r="M58" s="112">
        <v>1.6E-2</v>
      </c>
      <c r="N58" s="51"/>
      <c r="O58" s="112">
        <v>-0.04</v>
      </c>
      <c r="P58" s="128">
        <v>4150</v>
      </c>
      <c r="Q58" s="112">
        <v>-0.04</v>
      </c>
      <c r="R58" s="51"/>
      <c r="S58" s="112">
        <v>1.6E-2</v>
      </c>
      <c r="T58" s="115">
        <v>-1.6E-2</v>
      </c>
      <c r="U58" s="115">
        <v>-1.6E-2</v>
      </c>
      <c r="V58" s="112">
        <v>-0.04</v>
      </c>
      <c r="W58" s="69"/>
      <c r="X58" s="8"/>
      <c r="Y58" s="8"/>
    </row>
    <row r="59" spans="1:25" x14ac:dyDescent="0.3">
      <c r="I59" s="67"/>
      <c r="J59" s="112">
        <v>-0.04</v>
      </c>
      <c r="K59" s="113">
        <f t="shared" si="0"/>
        <v>-3.03666666666671E-3</v>
      </c>
      <c r="L59" s="113">
        <f t="shared" si="1"/>
        <v>-3.03666666666671E-3</v>
      </c>
      <c r="M59" s="112">
        <v>1.6E-2</v>
      </c>
      <c r="N59" s="51"/>
      <c r="O59" s="112">
        <v>-0.04</v>
      </c>
      <c r="P59" s="128">
        <v>4175</v>
      </c>
      <c r="Q59" s="112">
        <v>-0.04</v>
      </c>
      <c r="R59" s="51"/>
      <c r="S59" s="112">
        <v>1.6E-2</v>
      </c>
      <c r="T59" s="115">
        <v>-1.6E-2</v>
      </c>
      <c r="U59" s="115">
        <v>-1.6E-2</v>
      </c>
      <c r="V59" s="112">
        <v>-0.04</v>
      </c>
      <c r="W59" s="69"/>
      <c r="X59" s="8"/>
      <c r="Y59" s="8"/>
    </row>
    <row r="60" spans="1:25" x14ac:dyDescent="0.3">
      <c r="I60" s="70" t="s">
        <v>77</v>
      </c>
      <c r="J60" s="112">
        <v>-0.04</v>
      </c>
      <c r="K60" s="113">
        <f t="shared" si="0"/>
        <v>0</v>
      </c>
      <c r="L60" s="113">
        <f t="shared" si="1"/>
        <v>0</v>
      </c>
      <c r="M60" s="112">
        <v>1.6E-2</v>
      </c>
      <c r="N60" s="51"/>
      <c r="O60" s="112">
        <v>-0.04</v>
      </c>
      <c r="P60" s="129">
        <f>(P70)-B20</f>
        <v>4193.22</v>
      </c>
      <c r="Q60" s="112">
        <v>-0.04</v>
      </c>
      <c r="R60" s="51"/>
      <c r="S60" s="112">
        <v>1.6E-2</v>
      </c>
      <c r="T60" s="115">
        <v>-1.6E-2</v>
      </c>
      <c r="U60" s="115">
        <v>-1.6E-2</v>
      </c>
      <c r="V60" s="112">
        <v>-0.04</v>
      </c>
      <c r="W60" s="69"/>
      <c r="X60" s="8"/>
      <c r="Y60" s="8"/>
    </row>
    <row r="61" spans="1:25" x14ac:dyDescent="0.3">
      <c r="I61" s="67"/>
      <c r="J61" s="112">
        <v>-0.04</v>
      </c>
      <c r="K61" s="113">
        <f t="shared" si="0"/>
        <v>1.1299999999999574E-3</v>
      </c>
      <c r="L61" s="113">
        <f t="shared" si="1"/>
        <v>1.1299999999999574E-3</v>
      </c>
      <c r="M61" s="115">
        <v>1.6E-2</v>
      </c>
      <c r="N61" s="51"/>
      <c r="O61" s="112">
        <v>-0.04</v>
      </c>
      <c r="P61" s="128">
        <v>4200</v>
      </c>
      <c r="Q61" s="112">
        <v>-0.04</v>
      </c>
      <c r="R61" s="51"/>
      <c r="S61" s="113">
        <f>$S$60-(((P61-$P$60)/(($B$11)*($B$7))))</f>
        <v>1.3740000000000085E-2</v>
      </c>
      <c r="T61" s="115">
        <v>-1.6E-2</v>
      </c>
      <c r="U61" s="115">
        <v>-1.6E-2</v>
      </c>
      <c r="V61" s="112">
        <v>-0.04</v>
      </c>
      <c r="W61" s="69"/>
      <c r="X61" s="8"/>
      <c r="Y61" s="8"/>
    </row>
    <row r="62" spans="1:25" x14ac:dyDescent="0.3">
      <c r="I62" s="67"/>
      <c r="J62" s="112">
        <v>-0.04</v>
      </c>
      <c r="K62" s="113">
        <f t="shared" si="0"/>
        <v>5.2966666666666232E-3</v>
      </c>
      <c r="L62" s="113">
        <f t="shared" si="1"/>
        <v>5.2966666666666232E-3</v>
      </c>
      <c r="M62" s="115">
        <v>1.6E-2</v>
      </c>
      <c r="N62" s="51"/>
      <c r="O62" s="112">
        <v>-0.04</v>
      </c>
      <c r="P62" s="128">
        <v>4225</v>
      </c>
      <c r="Q62" s="112">
        <v>-0.04</v>
      </c>
      <c r="R62" s="51"/>
      <c r="S62" s="113">
        <f>$S$60-(((P62-$P$60)/(($B$11)*($B$7))))</f>
        <v>5.4066666666667523E-3</v>
      </c>
      <c r="T62" s="115">
        <v>-1.6E-2</v>
      </c>
      <c r="U62" s="115">
        <v>-1.6E-2</v>
      </c>
      <c r="V62" s="112">
        <v>-0.04</v>
      </c>
      <c r="W62" s="69"/>
      <c r="X62" s="8"/>
      <c r="Y62" s="8"/>
    </row>
    <row r="63" spans="1:25" x14ac:dyDescent="0.3">
      <c r="I63" s="70"/>
      <c r="J63" s="112">
        <v>-0.04</v>
      </c>
      <c r="K63" s="113">
        <f t="shared" si="0"/>
        <v>8.0000000000000002E-3</v>
      </c>
      <c r="L63" s="113">
        <f t="shared" si="1"/>
        <v>8.0000000000000002E-3</v>
      </c>
      <c r="M63" s="115">
        <v>1.6E-2</v>
      </c>
      <c r="N63" s="51"/>
      <c r="O63" s="112">
        <v>-0.04</v>
      </c>
      <c r="P63" s="129">
        <f>P60+(B15/2)</f>
        <v>4241.22</v>
      </c>
      <c r="Q63" s="112">
        <v>-0.04</v>
      </c>
      <c r="R63" s="51"/>
      <c r="S63" s="113">
        <f t="shared" ref="S63:S66" si="2">$S$60-(((P63-$P$60)/(($B$11)*($B$7))))</f>
        <v>0</v>
      </c>
      <c r="T63" s="115">
        <v>-1.6E-2</v>
      </c>
      <c r="U63" s="115">
        <v>-1.6E-2</v>
      </c>
      <c r="V63" s="112">
        <v>-0.04</v>
      </c>
      <c r="W63" s="69"/>
      <c r="X63" s="8"/>
      <c r="Y63" s="8"/>
    </row>
    <row r="64" spans="1:25" x14ac:dyDescent="0.3">
      <c r="I64" s="67"/>
      <c r="J64" s="112">
        <v>-0.04</v>
      </c>
      <c r="K64" s="113">
        <f t="shared" si="0"/>
        <v>9.4633333333332889E-3</v>
      </c>
      <c r="L64" s="113">
        <f t="shared" si="1"/>
        <v>9.4633333333332889E-3</v>
      </c>
      <c r="M64" s="115">
        <v>1.6E-2</v>
      </c>
      <c r="N64" s="51"/>
      <c r="O64" s="112">
        <v>-0.04</v>
      </c>
      <c r="P64" s="128">
        <v>4250</v>
      </c>
      <c r="Q64" s="112">
        <v>-0.04</v>
      </c>
      <c r="R64" s="51"/>
      <c r="S64" s="113">
        <f t="shared" si="2"/>
        <v>-2.926666666666581E-3</v>
      </c>
      <c r="T64" s="115">
        <v>-1.6E-2</v>
      </c>
      <c r="U64" s="115">
        <v>-1.6E-2</v>
      </c>
      <c r="V64" s="112">
        <v>-0.04</v>
      </c>
      <c r="W64" s="69"/>
      <c r="X64" s="8"/>
      <c r="Y64" s="8"/>
    </row>
    <row r="65" spans="9:25" x14ac:dyDescent="0.3">
      <c r="I65" s="67"/>
      <c r="J65" s="112">
        <v>-0.04</v>
      </c>
      <c r="K65" s="113">
        <f t="shared" si="0"/>
        <v>1.3629999999999958E-2</v>
      </c>
      <c r="L65" s="113">
        <f t="shared" si="1"/>
        <v>1.3629999999999958E-2</v>
      </c>
      <c r="M65" s="115">
        <v>1.6E-2</v>
      </c>
      <c r="N65" s="51"/>
      <c r="O65" s="112">
        <v>-0.04</v>
      </c>
      <c r="P65" s="128">
        <v>4275</v>
      </c>
      <c r="Q65" s="112">
        <v>-0.04</v>
      </c>
      <c r="R65" s="51"/>
      <c r="S65" s="113">
        <f t="shared" si="2"/>
        <v>-1.1259999999999916E-2</v>
      </c>
      <c r="T65" s="115">
        <v>-1.6E-2</v>
      </c>
      <c r="U65" s="115">
        <v>-1.6E-2</v>
      </c>
      <c r="V65" s="112">
        <v>-0.04</v>
      </c>
      <c r="W65" s="69"/>
      <c r="X65" s="8"/>
      <c r="Y65" s="8"/>
    </row>
    <row r="66" spans="9:25" x14ac:dyDescent="0.3">
      <c r="I66" s="67"/>
      <c r="J66" s="112">
        <v>-0.04</v>
      </c>
      <c r="K66" s="113">
        <f t="shared" si="0"/>
        <v>1.6E-2</v>
      </c>
      <c r="L66" s="113">
        <f t="shared" si="1"/>
        <v>1.6E-2</v>
      </c>
      <c r="M66" s="115">
        <v>1.6E-2</v>
      </c>
      <c r="N66" s="51"/>
      <c r="O66" s="112">
        <v>-0.04</v>
      </c>
      <c r="P66" s="129">
        <f>P63+(B15/2)</f>
        <v>4289.22</v>
      </c>
      <c r="Q66" s="112">
        <v>-0.04</v>
      </c>
      <c r="R66" s="51"/>
      <c r="S66" s="113">
        <f t="shared" si="2"/>
        <v>-1.6E-2</v>
      </c>
      <c r="T66" s="115">
        <v>-1.6E-2</v>
      </c>
      <c r="U66" s="115">
        <v>-1.6E-2</v>
      </c>
      <c r="V66" s="112">
        <v>-0.04</v>
      </c>
      <c r="W66" s="69"/>
      <c r="X66" s="8"/>
      <c r="Y66" s="8"/>
    </row>
    <row r="67" spans="9:25" x14ac:dyDescent="0.3">
      <c r="I67" s="67"/>
      <c r="J67" s="112">
        <v>-0.04</v>
      </c>
      <c r="K67" s="113">
        <f t="shared" ref="K67:K75" si="3">$K$66+((P67-$P$66)/(($B$13+$B$12+$B$11)*($B$7)))</f>
        <v>1.7197777777777749E-2</v>
      </c>
      <c r="L67" s="113">
        <f t="shared" ref="L67:L75" si="4">$L$66+((P67-$P$66)/(($B$13+$B$12+$B$11)*($B$7)))</f>
        <v>1.7197777777777749E-2</v>
      </c>
      <c r="M67" s="113">
        <f t="shared" ref="M67:M75" si="5">(($M$66)+((P67-$P$66)/(($B$13+$B$12+$B$11)*($B$7))))</f>
        <v>1.7197777777777749E-2</v>
      </c>
      <c r="N67" s="51"/>
      <c r="O67" s="112">
        <v>-0.04</v>
      </c>
      <c r="P67" s="128">
        <v>4300</v>
      </c>
      <c r="Q67" s="112">
        <v>-0.04</v>
      </c>
      <c r="R67" s="51"/>
      <c r="S67" s="113">
        <f t="shared" ref="S67:S75" si="6">$S$66-((P67-$P$66)/(($B$11+$B$12+$B$13)*($B$7)))</f>
        <v>-1.7197777777777749E-2</v>
      </c>
      <c r="T67" s="113">
        <f t="shared" ref="T67:T75" si="7">$T$66-((P67-$P$66)/(($B$11+$B$12+$B$13)*($B$7)))</f>
        <v>-1.7197777777777749E-2</v>
      </c>
      <c r="U67" s="113">
        <f t="shared" ref="U67:U75" si="8">$U$66-((P67-$P$66)/(($B$11+$B$12+$B$13)*($B$7)))</f>
        <v>-1.7197777777777749E-2</v>
      </c>
      <c r="V67" s="112">
        <v>-0.04</v>
      </c>
      <c r="W67" s="69"/>
      <c r="X67" s="8"/>
      <c r="Y67" s="8"/>
    </row>
    <row r="68" spans="9:25" x14ac:dyDescent="0.3">
      <c r="I68" s="67"/>
      <c r="J68" s="112">
        <v>-0.04</v>
      </c>
      <c r="K68" s="113">
        <f t="shared" si="3"/>
        <v>1.9975555555555528E-2</v>
      </c>
      <c r="L68" s="113">
        <f t="shared" si="4"/>
        <v>1.9975555555555528E-2</v>
      </c>
      <c r="M68" s="113">
        <f t="shared" si="5"/>
        <v>1.9975555555555528E-2</v>
      </c>
      <c r="N68" s="51"/>
      <c r="O68" s="112">
        <v>-0.04</v>
      </c>
      <c r="P68" s="128">
        <v>4325</v>
      </c>
      <c r="Q68" s="112">
        <v>-0.04</v>
      </c>
      <c r="R68" s="51"/>
      <c r="S68" s="113">
        <f t="shared" si="6"/>
        <v>-1.9975555555555528E-2</v>
      </c>
      <c r="T68" s="113">
        <f t="shared" si="7"/>
        <v>-1.9975555555555528E-2</v>
      </c>
      <c r="U68" s="113">
        <f t="shared" si="8"/>
        <v>-1.9975555555555528E-2</v>
      </c>
      <c r="V68" s="112">
        <v>-0.04</v>
      </c>
      <c r="W68" s="69"/>
      <c r="X68" s="8"/>
      <c r="Y68" s="8"/>
    </row>
    <row r="69" spans="9:25" x14ac:dyDescent="0.3">
      <c r="I69" s="67"/>
      <c r="J69" s="112">
        <v>-0.04</v>
      </c>
      <c r="K69" s="113">
        <f t="shared" si="3"/>
        <v>2.2753333333333306E-2</v>
      </c>
      <c r="L69" s="113">
        <f t="shared" si="4"/>
        <v>2.2753333333333306E-2</v>
      </c>
      <c r="M69" s="113">
        <f t="shared" si="5"/>
        <v>2.2753333333333306E-2</v>
      </c>
      <c r="N69" s="51"/>
      <c r="O69" s="112">
        <v>-0.04</v>
      </c>
      <c r="P69" s="128">
        <v>4350</v>
      </c>
      <c r="Q69" s="112">
        <v>-0.04</v>
      </c>
      <c r="R69" s="51"/>
      <c r="S69" s="113">
        <f t="shared" si="6"/>
        <v>-2.2753333333333306E-2</v>
      </c>
      <c r="T69" s="113">
        <f t="shared" si="7"/>
        <v>-2.2753333333333306E-2</v>
      </c>
      <c r="U69" s="113">
        <f t="shared" si="8"/>
        <v>-2.2753333333333306E-2</v>
      </c>
      <c r="V69" s="112">
        <v>-0.04</v>
      </c>
      <c r="W69" s="69"/>
      <c r="X69" s="8"/>
      <c r="Y69" s="8"/>
    </row>
    <row r="70" spans="9:25" x14ac:dyDescent="0.3">
      <c r="I70" s="71" t="s">
        <v>43</v>
      </c>
      <c r="J70" s="112">
        <v>-0.04</v>
      </c>
      <c r="K70" s="113">
        <f t="shared" si="3"/>
        <v>2.377777777777778E-2</v>
      </c>
      <c r="L70" s="113">
        <f t="shared" si="4"/>
        <v>2.377777777777778E-2</v>
      </c>
      <c r="M70" s="113">
        <f t="shared" si="5"/>
        <v>2.377777777777778E-2</v>
      </c>
      <c r="N70" s="51"/>
      <c r="O70" s="112">
        <v>-0.04</v>
      </c>
      <c r="P70" s="129">
        <f>B3</f>
        <v>4359.22</v>
      </c>
      <c r="Q70" s="115">
        <v>-0.04</v>
      </c>
      <c r="R70" s="51"/>
      <c r="S70" s="113">
        <f t="shared" si="6"/>
        <v>-2.377777777777778E-2</v>
      </c>
      <c r="T70" s="113">
        <f t="shared" si="7"/>
        <v>-2.377777777777778E-2</v>
      </c>
      <c r="U70" s="113">
        <f t="shared" si="8"/>
        <v>-2.377777777777778E-2</v>
      </c>
      <c r="V70" s="112">
        <v>-0.04</v>
      </c>
      <c r="W70" s="69" t="s">
        <v>43</v>
      </c>
      <c r="X70" s="8"/>
      <c r="Y70" s="8"/>
    </row>
    <row r="71" spans="9:25" x14ac:dyDescent="0.3">
      <c r="I71" s="67"/>
      <c r="J71" s="112">
        <v>-0.04</v>
      </c>
      <c r="K71" s="113">
        <f t="shared" si="3"/>
        <v>2.5531111111111081E-2</v>
      </c>
      <c r="L71" s="113">
        <f t="shared" si="4"/>
        <v>2.5531111111111081E-2</v>
      </c>
      <c r="M71" s="113">
        <f t="shared" si="5"/>
        <v>2.5531111111111081E-2</v>
      </c>
      <c r="N71" s="51"/>
      <c r="O71" s="112">
        <v>-0.04</v>
      </c>
      <c r="P71" s="128">
        <v>4375</v>
      </c>
      <c r="Q71" s="115">
        <v>-0.04</v>
      </c>
      <c r="R71" s="51"/>
      <c r="S71" s="113">
        <f t="shared" si="6"/>
        <v>-2.5531111111111081E-2</v>
      </c>
      <c r="T71" s="113">
        <f t="shared" si="7"/>
        <v>-2.5531111111111081E-2</v>
      </c>
      <c r="U71" s="113">
        <f t="shared" si="8"/>
        <v>-2.5531111111111081E-2</v>
      </c>
      <c r="V71" s="112">
        <v>-0.04</v>
      </c>
      <c r="W71" s="69"/>
      <c r="X71" s="8"/>
      <c r="Y71" s="8"/>
    </row>
    <row r="72" spans="9:25" x14ac:dyDescent="0.3">
      <c r="I72" s="67"/>
      <c r="J72" s="112">
        <v>-0.04</v>
      </c>
      <c r="K72" s="113">
        <f t="shared" si="3"/>
        <v>2.8308888888888863E-2</v>
      </c>
      <c r="L72" s="113">
        <f t="shared" si="4"/>
        <v>2.8308888888888863E-2</v>
      </c>
      <c r="M72" s="113">
        <f t="shared" si="5"/>
        <v>2.8308888888888863E-2</v>
      </c>
      <c r="N72" s="51"/>
      <c r="O72" s="112">
        <v>-0.04</v>
      </c>
      <c r="P72" s="128">
        <v>4400</v>
      </c>
      <c r="Q72" s="115">
        <v>-0.04</v>
      </c>
      <c r="R72" s="51"/>
      <c r="S72" s="113">
        <f t="shared" si="6"/>
        <v>-2.8308888888888863E-2</v>
      </c>
      <c r="T72" s="113">
        <f t="shared" si="7"/>
        <v>-2.8308888888888863E-2</v>
      </c>
      <c r="U72" s="113">
        <f t="shared" si="8"/>
        <v>-2.8308888888888863E-2</v>
      </c>
      <c r="V72" s="112">
        <v>-0.04</v>
      </c>
      <c r="W72" s="69"/>
      <c r="X72" s="8"/>
      <c r="Y72" s="8"/>
    </row>
    <row r="73" spans="9:25" x14ac:dyDescent="0.3">
      <c r="I73" s="70" t="s">
        <v>82</v>
      </c>
      <c r="J73" s="112">
        <v>-0.04</v>
      </c>
      <c r="K73" s="113">
        <f t="shared" si="3"/>
        <v>0.03</v>
      </c>
      <c r="L73" s="113">
        <f t="shared" si="4"/>
        <v>0.03</v>
      </c>
      <c r="M73" s="113">
        <f t="shared" si="5"/>
        <v>0.03</v>
      </c>
      <c r="N73" s="51"/>
      <c r="O73" s="112">
        <v>-0.04</v>
      </c>
      <c r="P73" s="129">
        <f>P66+(((0.03-B10)*(B11+B12+B13)*(B7)))</f>
        <v>4415.22</v>
      </c>
      <c r="Q73" s="115">
        <v>-0.04</v>
      </c>
      <c r="R73" s="51"/>
      <c r="S73" s="113">
        <f t="shared" si="6"/>
        <v>-0.03</v>
      </c>
      <c r="T73" s="113">
        <f t="shared" si="7"/>
        <v>-0.03</v>
      </c>
      <c r="U73" s="113">
        <f t="shared" si="8"/>
        <v>-0.03</v>
      </c>
      <c r="V73" s="112">
        <v>-0.04</v>
      </c>
      <c r="W73" s="69" t="s">
        <v>75</v>
      </c>
      <c r="X73" s="8"/>
      <c r="Y73" s="8"/>
    </row>
    <row r="74" spans="9:25" x14ac:dyDescent="0.3">
      <c r="I74" s="67"/>
      <c r="J74" s="113">
        <f t="shared" ref="J74" si="9">-0.07+K74</f>
        <v>-3.8913333333333369E-2</v>
      </c>
      <c r="K74" s="113">
        <f t="shared" si="3"/>
        <v>3.1086666666666637E-2</v>
      </c>
      <c r="L74" s="113">
        <f t="shared" si="4"/>
        <v>3.1086666666666637E-2</v>
      </c>
      <c r="M74" s="113">
        <f t="shared" si="5"/>
        <v>3.1086666666666637E-2</v>
      </c>
      <c r="N74" s="51"/>
      <c r="O74" s="112">
        <v>-0.04</v>
      </c>
      <c r="P74" s="128">
        <v>4425</v>
      </c>
      <c r="Q74" s="113">
        <v>-0.04</v>
      </c>
      <c r="R74" s="51" t="s">
        <v>143</v>
      </c>
      <c r="S74" s="113">
        <f t="shared" si="6"/>
        <v>-3.1086666666666637E-2</v>
      </c>
      <c r="T74" s="113">
        <f t="shared" si="7"/>
        <v>-3.1086666666666637E-2</v>
      </c>
      <c r="U74" s="113">
        <f t="shared" si="8"/>
        <v>-3.1086666666666637E-2</v>
      </c>
      <c r="V74" s="112">
        <v>-0.04</v>
      </c>
      <c r="W74" s="69"/>
      <c r="X74" s="8"/>
      <c r="Y74" s="8"/>
    </row>
    <row r="75" spans="9:25" x14ac:dyDescent="0.3">
      <c r="I75" s="70" t="s">
        <v>79</v>
      </c>
      <c r="J75" s="113">
        <f>-0.07+K75</f>
        <v>-3.7000000000000005E-2</v>
      </c>
      <c r="K75" s="113">
        <f t="shared" si="3"/>
        <v>3.3000000000000002E-2</v>
      </c>
      <c r="L75" s="113">
        <f t="shared" si="4"/>
        <v>3.3000000000000002E-2</v>
      </c>
      <c r="M75" s="113">
        <f t="shared" si="5"/>
        <v>3.3000000000000002E-2</v>
      </c>
      <c r="N75" s="51"/>
      <c r="O75" s="112">
        <v>-0.04</v>
      </c>
      <c r="P75" s="129">
        <f>P70+(B21)</f>
        <v>4442.22</v>
      </c>
      <c r="Q75" s="113">
        <v>-0.04</v>
      </c>
      <c r="R75" s="51" t="s">
        <v>143</v>
      </c>
      <c r="S75" s="113">
        <f t="shared" si="6"/>
        <v>-3.3000000000000002E-2</v>
      </c>
      <c r="T75" s="113">
        <f t="shared" si="7"/>
        <v>-3.3000000000000002E-2</v>
      </c>
      <c r="U75" s="113">
        <f t="shared" si="8"/>
        <v>-3.3000000000000002E-2</v>
      </c>
      <c r="V75" s="112">
        <v>-0.04</v>
      </c>
      <c r="W75" s="69" t="s">
        <v>79</v>
      </c>
      <c r="X75" s="8"/>
      <c r="Y75" s="8"/>
    </row>
    <row r="76" spans="9:25" x14ac:dyDescent="0.3">
      <c r="I76" s="67"/>
      <c r="J76" s="115">
        <f t="shared" ref="J76:J78" si="10">-0.07+K76</f>
        <v>-3.7000000000000005E-2</v>
      </c>
      <c r="K76" s="112">
        <v>3.3000000000000002E-2</v>
      </c>
      <c r="L76" s="112">
        <v>3.3000000000000002E-2</v>
      </c>
      <c r="M76" s="112">
        <v>3.3000000000000002E-2</v>
      </c>
      <c r="N76" s="51"/>
      <c r="O76" s="112">
        <v>-0.04</v>
      </c>
      <c r="P76" s="55">
        <v>163525</v>
      </c>
      <c r="Q76" s="112">
        <v>-0.04</v>
      </c>
      <c r="R76" s="51"/>
      <c r="S76" s="112">
        <v>-3.3000000000000002E-2</v>
      </c>
      <c r="T76" s="112">
        <v>-3.3000000000000002E-2</v>
      </c>
      <c r="U76" s="112">
        <v>-3.3000000000000002E-2</v>
      </c>
      <c r="V76" s="112">
        <v>-0.04</v>
      </c>
      <c r="W76" s="69"/>
      <c r="X76" s="8"/>
      <c r="Y76" s="8"/>
    </row>
    <row r="77" spans="9:25" x14ac:dyDescent="0.3">
      <c r="I77" s="67"/>
      <c r="J77" s="115">
        <f t="shared" si="10"/>
        <v>-3.7000000000000005E-2</v>
      </c>
      <c r="K77" s="112">
        <v>3.3000000000000002E-2</v>
      </c>
      <c r="L77" s="112">
        <v>3.3000000000000002E-2</v>
      </c>
      <c r="M77" s="112">
        <v>3.3000000000000002E-2</v>
      </c>
      <c r="N77" s="51"/>
      <c r="O77" s="112">
        <v>-0.04</v>
      </c>
      <c r="P77" s="55">
        <v>163550</v>
      </c>
      <c r="Q77" s="112">
        <v>-0.04</v>
      </c>
      <c r="R77" s="51"/>
      <c r="S77" s="112">
        <v>-3.3000000000000002E-2</v>
      </c>
      <c r="T77" s="112">
        <v>-3.3000000000000002E-2</v>
      </c>
      <c r="U77" s="112">
        <v>-3.3000000000000002E-2</v>
      </c>
      <c r="V77" s="112">
        <v>-0.04</v>
      </c>
      <c r="W77" s="69"/>
      <c r="X77" s="8"/>
      <c r="Y77" s="8"/>
    </row>
    <row r="78" spans="9:25" x14ac:dyDescent="0.3">
      <c r="I78" s="67"/>
      <c r="J78" s="115">
        <f t="shared" si="10"/>
        <v>-3.7000000000000005E-2</v>
      </c>
      <c r="K78" s="112">
        <v>3.3000000000000002E-2</v>
      </c>
      <c r="L78" s="112">
        <v>3.3000000000000002E-2</v>
      </c>
      <c r="M78" s="112">
        <v>3.3000000000000002E-2</v>
      </c>
      <c r="N78" s="51"/>
      <c r="O78" s="112">
        <v>-0.04</v>
      </c>
      <c r="P78" s="55">
        <v>163575</v>
      </c>
      <c r="Q78" s="112">
        <v>-0.04</v>
      </c>
      <c r="R78" s="51"/>
      <c r="S78" s="112">
        <v>-3.3000000000000002E-2</v>
      </c>
      <c r="T78" s="112">
        <v>-3.3000000000000002E-2</v>
      </c>
      <c r="U78" s="112">
        <v>-3.3000000000000002E-2</v>
      </c>
      <c r="V78" s="112">
        <v>-0.04</v>
      </c>
      <c r="W78" s="69"/>
      <c r="X78" s="8"/>
      <c r="Y78" s="8"/>
    </row>
    <row r="79" spans="9:25" x14ac:dyDescent="0.3">
      <c r="I79" s="67"/>
      <c r="J79" s="166" t="s">
        <v>76</v>
      </c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69"/>
      <c r="X79" s="8"/>
      <c r="Y79" s="8"/>
    </row>
    <row r="80" spans="9:25" x14ac:dyDescent="0.3">
      <c r="I80" s="67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69"/>
      <c r="X80" s="8"/>
      <c r="Y80" s="8"/>
    </row>
    <row r="81" spans="1:25" ht="52.2" customHeight="1" x14ac:dyDescent="0.3">
      <c r="I81" s="67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69"/>
      <c r="X81" s="8"/>
      <c r="Y81" s="8"/>
    </row>
    <row r="82" spans="1:25" ht="14.4" customHeight="1" x14ac:dyDescent="0.3">
      <c r="I82" s="67"/>
      <c r="J82" s="112">
        <f>-0.07+K82</f>
        <v>-3.7000000000000005E-2</v>
      </c>
      <c r="K82" s="112">
        <v>3.3000000000000002E-2</v>
      </c>
      <c r="L82" s="112">
        <v>3.3000000000000002E-2</v>
      </c>
      <c r="M82" s="112">
        <v>3.3000000000000002E-2</v>
      </c>
      <c r="N82" s="51"/>
      <c r="O82" s="115">
        <v>-0.04</v>
      </c>
      <c r="P82" s="130">
        <v>5525</v>
      </c>
      <c r="Q82" s="112">
        <v>-0.04</v>
      </c>
      <c r="R82" s="51"/>
      <c r="S82" s="112">
        <f t="shared" ref="S82:U84" si="11">S75</f>
        <v>-3.3000000000000002E-2</v>
      </c>
      <c r="T82" s="112">
        <f t="shared" si="11"/>
        <v>-3.3000000000000002E-2</v>
      </c>
      <c r="U82" s="112">
        <f t="shared" si="11"/>
        <v>-3.3000000000000002E-2</v>
      </c>
      <c r="V82" s="112">
        <v>-0.04</v>
      </c>
      <c r="W82" s="69"/>
      <c r="X82" s="8"/>
      <c r="Y82" s="8"/>
    </row>
    <row r="83" spans="1:25" s="45" customFormat="1" ht="14.4" customHeight="1" x14ac:dyDescent="0.3">
      <c r="A83" s="35"/>
      <c r="B83" s="35"/>
      <c r="C83" s="35"/>
      <c r="D83" s="35"/>
      <c r="E83" s="35"/>
      <c r="F83" s="35"/>
      <c r="G83" s="35"/>
      <c r="H83" s="35"/>
      <c r="I83" s="70"/>
      <c r="J83" s="112">
        <f t="shared" ref="J83:J85" si="12">-0.07+K83</f>
        <v>-3.7000000000000005E-2</v>
      </c>
      <c r="K83" s="112">
        <v>3.3000000000000002E-2</v>
      </c>
      <c r="L83" s="112">
        <v>3.3000000000000002E-2</v>
      </c>
      <c r="M83" s="112">
        <v>3.3000000000000002E-2</v>
      </c>
      <c r="N83" s="51"/>
      <c r="O83" s="115">
        <v>-0.04</v>
      </c>
      <c r="P83" s="127">
        <v>5550</v>
      </c>
      <c r="Q83" s="112">
        <v>-0.04</v>
      </c>
      <c r="R83" s="51"/>
      <c r="S83" s="112">
        <f t="shared" si="11"/>
        <v>-3.3000000000000002E-2</v>
      </c>
      <c r="T83" s="112">
        <f t="shared" si="11"/>
        <v>-3.3000000000000002E-2</v>
      </c>
      <c r="U83" s="112">
        <f t="shared" si="11"/>
        <v>-3.3000000000000002E-2</v>
      </c>
      <c r="V83" s="112">
        <v>-0.04</v>
      </c>
      <c r="W83" s="69"/>
      <c r="X83" s="35"/>
      <c r="Y83" s="35"/>
    </row>
    <row r="84" spans="1:25" s="45" customFormat="1" x14ac:dyDescent="0.3">
      <c r="A84" s="35"/>
      <c r="B84" s="35"/>
      <c r="C84" s="35"/>
      <c r="D84" s="35"/>
      <c r="E84" s="35"/>
      <c r="F84" s="35"/>
      <c r="G84" s="35"/>
      <c r="H84" s="35"/>
      <c r="I84" s="70"/>
      <c r="J84" s="112">
        <f t="shared" si="12"/>
        <v>-3.7000000000000005E-2</v>
      </c>
      <c r="K84" s="112">
        <v>3.3000000000000002E-2</v>
      </c>
      <c r="L84" s="112">
        <v>3.3000000000000002E-2</v>
      </c>
      <c r="M84" s="112">
        <v>3.3000000000000002E-2</v>
      </c>
      <c r="N84" s="51"/>
      <c r="O84" s="115">
        <v>-0.04</v>
      </c>
      <c r="P84" s="128">
        <v>5575</v>
      </c>
      <c r="Q84" s="112">
        <v>-0.04</v>
      </c>
      <c r="R84" s="51"/>
      <c r="S84" s="112">
        <f t="shared" si="11"/>
        <v>-3.3000000000000002E-2</v>
      </c>
      <c r="T84" s="112">
        <f t="shared" si="11"/>
        <v>-3.3000000000000002E-2</v>
      </c>
      <c r="U84" s="112">
        <f t="shared" si="11"/>
        <v>-3.3000000000000002E-2</v>
      </c>
      <c r="V84" s="112">
        <v>-0.04</v>
      </c>
      <c r="W84" s="69"/>
      <c r="X84" s="35"/>
      <c r="Y84" s="35"/>
    </row>
    <row r="85" spans="1:25" x14ac:dyDescent="0.3">
      <c r="I85" s="70" t="s">
        <v>80</v>
      </c>
      <c r="J85" s="112">
        <f t="shared" si="12"/>
        <v>-3.7000000000000005E-2</v>
      </c>
      <c r="K85" s="112">
        <v>3.3000000000000002E-2</v>
      </c>
      <c r="L85" s="112">
        <v>3.3000000000000002E-2</v>
      </c>
      <c r="M85" s="112">
        <v>3.3000000000000002E-2</v>
      </c>
      <c r="N85" s="51"/>
      <c r="O85" s="115">
        <v>-0.04</v>
      </c>
      <c r="P85" s="129">
        <f>P90-B21</f>
        <v>5580.53</v>
      </c>
      <c r="Q85" s="112">
        <v>-0.04</v>
      </c>
      <c r="R85" s="51"/>
      <c r="S85" s="112">
        <f>S78</f>
        <v>-3.3000000000000002E-2</v>
      </c>
      <c r="T85" s="112">
        <f>T78</f>
        <v>-3.3000000000000002E-2</v>
      </c>
      <c r="U85" s="112">
        <f>U78</f>
        <v>-3.3000000000000002E-2</v>
      </c>
      <c r="V85" s="112">
        <v>-0.04</v>
      </c>
      <c r="W85" s="68" t="s">
        <v>80</v>
      </c>
      <c r="X85" s="8"/>
      <c r="Y85" s="8"/>
    </row>
    <row r="86" spans="1:25" x14ac:dyDescent="0.3">
      <c r="I86" s="70"/>
      <c r="J86" s="113">
        <f>-0.07+K86</f>
        <v>-3.9163333333333369E-2</v>
      </c>
      <c r="K86" s="113">
        <f t="shared" ref="K86:K94" si="13">$K$85-((P86-$P$85)/(($B$11+$B$12+$B$13)*($B$7)))</f>
        <v>3.0836666666666641E-2</v>
      </c>
      <c r="L86" s="113">
        <f t="shared" ref="L86:L94" si="14">$L$85-((P86-$P$85)/(($B$11+$B$12+$B$13)*($B$7)))</f>
        <v>3.0836666666666641E-2</v>
      </c>
      <c r="M86" s="113">
        <f t="shared" ref="M86:M94" si="15">$M$85-((P86-P$85)/(($B$11+$B$12+$B$13)*($B$7)))</f>
        <v>3.0836666666666641E-2</v>
      </c>
      <c r="N86" s="51"/>
      <c r="O86" s="115">
        <v>-0.04</v>
      </c>
      <c r="P86" s="128">
        <v>5600</v>
      </c>
      <c r="Q86" s="113">
        <v>-0.04</v>
      </c>
      <c r="R86" s="51" t="s">
        <v>143</v>
      </c>
      <c r="S86" s="113">
        <f t="shared" ref="S86:S94" si="16">$S$85+((P86-$P$85)/(($B$7)*($B$11+$B$12+$B$13)))</f>
        <v>-3.0836666666666641E-2</v>
      </c>
      <c r="T86" s="113">
        <f t="shared" ref="T86:T94" si="17">$T$85+((P86-$P$85)/(($B$7)*($B$11+$B$12+$B$13)))</f>
        <v>-3.0836666666666641E-2</v>
      </c>
      <c r="U86" s="113">
        <f t="shared" ref="U86:U94" si="18">$U$85+((P86-$P$85)/(($B$7)*($B$11+$B$12+$B$13)))</f>
        <v>-3.0836666666666641E-2</v>
      </c>
      <c r="V86" s="112">
        <v>-0.04</v>
      </c>
      <c r="W86" s="68"/>
      <c r="X86" s="8"/>
      <c r="Y86" s="8"/>
    </row>
    <row r="87" spans="1:25" x14ac:dyDescent="0.3">
      <c r="I87" s="70" t="s">
        <v>82</v>
      </c>
      <c r="J87" s="113">
        <f>-0.07+K87</f>
        <v>-4.0000000000000008E-2</v>
      </c>
      <c r="K87" s="113">
        <f t="shared" si="13"/>
        <v>3.0000000000000002E-2</v>
      </c>
      <c r="L87" s="113">
        <f t="shared" si="14"/>
        <v>3.0000000000000002E-2</v>
      </c>
      <c r="M87" s="113">
        <f t="shared" si="15"/>
        <v>3.0000000000000002E-2</v>
      </c>
      <c r="N87" s="51"/>
      <c r="O87" s="115">
        <v>-0.04</v>
      </c>
      <c r="P87" s="129">
        <f>P85+((B11+B12+B13)*(B9-0.03)*(B7))</f>
        <v>5607.53</v>
      </c>
      <c r="Q87" s="113">
        <v>-0.04</v>
      </c>
      <c r="R87" s="51" t="s">
        <v>143</v>
      </c>
      <c r="S87" s="113">
        <f t="shared" si="16"/>
        <v>-3.0000000000000002E-2</v>
      </c>
      <c r="T87" s="113">
        <f t="shared" si="17"/>
        <v>-3.0000000000000002E-2</v>
      </c>
      <c r="U87" s="113">
        <f t="shared" si="18"/>
        <v>-3.0000000000000002E-2</v>
      </c>
      <c r="V87" s="112">
        <v>-0.04</v>
      </c>
      <c r="W87" s="68" t="s">
        <v>75</v>
      </c>
      <c r="X87" s="8"/>
      <c r="Y87" s="8"/>
    </row>
    <row r="88" spans="1:25" x14ac:dyDescent="0.3">
      <c r="I88" s="70"/>
      <c r="J88" s="112">
        <v>-0.04</v>
      </c>
      <c r="K88" s="113">
        <f t="shared" si="13"/>
        <v>2.8058888888888862E-2</v>
      </c>
      <c r="L88" s="113">
        <f t="shared" si="14"/>
        <v>2.8058888888888862E-2</v>
      </c>
      <c r="M88" s="113">
        <f t="shared" si="15"/>
        <v>2.8058888888888862E-2</v>
      </c>
      <c r="N88" s="51"/>
      <c r="O88" s="115">
        <v>-0.04</v>
      </c>
      <c r="P88" s="128">
        <v>5625</v>
      </c>
      <c r="Q88" s="115">
        <v>-0.04</v>
      </c>
      <c r="R88" s="51"/>
      <c r="S88" s="113">
        <f t="shared" si="16"/>
        <v>-2.8058888888888862E-2</v>
      </c>
      <c r="T88" s="113">
        <f t="shared" si="17"/>
        <v>-2.8058888888888862E-2</v>
      </c>
      <c r="U88" s="113">
        <f t="shared" si="18"/>
        <v>-2.8058888888888862E-2</v>
      </c>
      <c r="V88" s="112">
        <v>-0.04</v>
      </c>
      <c r="W88" s="68"/>
      <c r="X88" s="8"/>
      <c r="Y88" s="8"/>
    </row>
    <row r="89" spans="1:25" x14ac:dyDescent="0.3">
      <c r="I89" s="70"/>
      <c r="J89" s="112">
        <v>-0.04</v>
      </c>
      <c r="K89" s="113">
        <f t="shared" si="13"/>
        <v>2.5281111111111084E-2</v>
      </c>
      <c r="L89" s="113">
        <f t="shared" si="14"/>
        <v>2.5281111111111084E-2</v>
      </c>
      <c r="M89" s="113">
        <f t="shared" si="15"/>
        <v>2.5281111111111084E-2</v>
      </c>
      <c r="N89" s="51"/>
      <c r="O89" s="115">
        <v>-0.04</v>
      </c>
      <c r="P89" s="128">
        <v>5650</v>
      </c>
      <c r="Q89" s="115">
        <v>-0.04</v>
      </c>
      <c r="R89" s="51"/>
      <c r="S89" s="113">
        <f t="shared" si="16"/>
        <v>-2.5281111111111084E-2</v>
      </c>
      <c r="T89" s="113">
        <f t="shared" si="17"/>
        <v>-2.5281111111111084E-2</v>
      </c>
      <c r="U89" s="113">
        <f t="shared" si="18"/>
        <v>-2.5281111111111084E-2</v>
      </c>
      <c r="V89" s="112">
        <v>-0.04</v>
      </c>
      <c r="W89" s="68"/>
      <c r="X89" s="8"/>
      <c r="Y89" s="8"/>
    </row>
    <row r="90" spans="1:25" s="47" customFormat="1" x14ac:dyDescent="0.3">
      <c r="A90" s="46"/>
      <c r="B90" s="46"/>
      <c r="C90" s="46"/>
      <c r="D90" s="46"/>
      <c r="E90" s="46"/>
      <c r="F90" s="46"/>
      <c r="G90" s="46"/>
      <c r="H90" s="46"/>
      <c r="I90" s="71" t="s">
        <v>44</v>
      </c>
      <c r="J90" s="112">
        <v>-0.04</v>
      </c>
      <c r="K90" s="113">
        <f t="shared" si="13"/>
        <v>2.377777777777778E-2</v>
      </c>
      <c r="L90" s="113">
        <f t="shared" si="14"/>
        <v>2.377777777777778E-2</v>
      </c>
      <c r="M90" s="113">
        <f t="shared" si="15"/>
        <v>2.377777777777778E-2</v>
      </c>
      <c r="N90" s="60"/>
      <c r="O90" s="115">
        <v>-0.04</v>
      </c>
      <c r="P90" s="131">
        <f>B4</f>
        <v>5663.53</v>
      </c>
      <c r="Q90" s="115">
        <v>-0.04</v>
      </c>
      <c r="R90" s="60"/>
      <c r="S90" s="113">
        <f t="shared" si="16"/>
        <v>-2.377777777777778E-2</v>
      </c>
      <c r="T90" s="113">
        <f t="shared" si="17"/>
        <v>-2.377777777777778E-2</v>
      </c>
      <c r="U90" s="113">
        <f t="shared" si="18"/>
        <v>-2.377777777777778E-2</v>
      </c>
      <c r="V90" s="112">
        <v>-0.04</v>
      </c>
      <c r="W90" s="72" t="s">
        <v>44</v>
      </c>
      <c r="X90" s="46"/>
      <c r="Y90" s="46"/>
    </row>
    <row r="91" spans="1:25" x14ac:dyDescent="0.3">
      <c r="I91" s="67"/>
      <c r="J91" s="112">
        <v>-0.04</v>
      </c>
      <c r="K91" s="113">
        <f t="shared" si="13"/>
        <v>2.2503333333333306E-2</v>
      </c>
      <c r="L91" s="113">
        <f t="shared" si="14"/>
        <v>2.2503333333333306E-2</v>
      </c>
      <c r="M91" s="113">
        <f t="shared" si="15"/>
        <v>2.2503333333333306E-2</v>
      </c>
      <c r="N91" s="51"/>
      <c r="O91" s="115">
        <v>-0.04</v>
      </c>
      <c r="P91" s="127">
        <v>5675</v>
      </c>
      <c r="Q91" s="115">
        <v>-0.04</v>
      </c>
      <c r="R91" s="51"/>
      <c r="S91" s="113">
        <f t="shared" si="16"/>
        <v>-2.2503333333333306E-2</v>
      </c>
      <c r="T91" s="113">
        <f t="shared" si="17"/>
        <v>-2.2503333333333306E-2</v>
      </c>
      <c r="U91" s="113">
        <f t="shared" si="18"/>
        <v>-2.2503333333333306E-2</v>
      </c>
      <c r="V91" s="112">
        <v>-0.04</v>
      </c>
      <c r="W91" s="68"/>
      <c r="X91" s="8"/>
      <c r="Y91" s="8"/>
    </row>
    <row r="92" spans="1:25" x14ac:dyDescent="0.3">
      <c r="I92" s="67"/>
      <c r="J92" s="112">
        <v>-0.04</v>
      </c>
      <c r="K92" s="113">
        <f t="shared" si="13"/>
        <v>1.9725555555555531E-2</v>
      </c>
      <c r="L92" s="113">
        <f t="shared" si="14"/>
        <v>1.9725555555555531E-2</v>
      </c>
      <c r="M92" s="113">
        <f t="shared" si="15"/>
        <v>1.9725555555555531E-2</v>
      </c>
      <c r="N92" s="51"/>
      <c r="O92" s="115">
        <v>-0.04</v>
      </c>
      <c r="P92" s="127">
        <v>5700</v>
      </c>
      <c r="Q92" s="115">
        <v>-0.04</v>
      </c>
      <c r="R92" s="51"/>
      <c r="S92" s="113">
        <f t="shared" si="16"/>
        <v>-1.9725555555555531E-2</v>
      </c>
      <c r="T92" s="113">
        <f t="shared" si="17"/>
        <v>-1.9725555555555531E-2</v>
      </c>
      <c r="U92" s="113">
        <f t="shared" si="18"/>
        <v>-1.9725555555555531E-2</v>
      </c>
      <c r="V92" s="112">
        <v>-0.04</v>
      </c>
      <c r="W92" s="68"/>
      <c r="X92" s="8"/>
      <c r="Y92" s="8"/>
    </row>
    <row r="93" spans="1:25" x14ac:dyDescent="0.3">
      <c r="I93" s="67"/>
      <c r="J93" s="112">
        <v>-0.04</v>
      </c>
      <c r="K93" s="113">
        <f t="shared" si="13"/>
        <v>1.6947777777777753E-2</v>
      </c>
      <c r="L93" s="113">
        <f t="shared" si="14"/>
        <v>1.6947777777777753E-2</v>
      </c>
      <c r="M93" s="113">
        <f t="shared" si="15"/>
        <v>1.6947777777777753E-2</v>
      </c>
      <c r="N93" s="51"/>
      <c r="O93" s="115">
        <v>-0.04</v>
      </c>
      <c r="P93" s="127">
        <v>5725</v>
      </c>
      <c r="Q93" s="115">
        <v>-0.04</v>
      </c>
      <c r="R93" s="51"/>
      <c r="S93" s="113">
        <f t="shared" si="16"/>
        <v>-1.6947777777777753E-2</v>
      </c>
      <c r="T93" s="113">
        <f t="shared" si="17"/>
        <v>-1.6947777777777753E-2</v>
      </c>
      <c r="U93" s="113">
        <f t="shared" si="18"/>
        <v>-1.6947777777777753E-2</v>
      </c>
      <c r="V93" s="112">
        <v>-0.04</v>
      </c>
      <c r="W93" s="68"/>
      <c r="X93" s="8"/>
      <c r="Y93" s="8"/>
    </row>
    <row r="94" spans="1:25" x14ac:dyDescent="0.3">
      <c r="I94" s="67"/>
      <c r="J94" s="112">
        <v>-0.04</v>
      </c>
      <c r="K94" s="113">
        <f t="shared" si="13"/>
        <v>1.6E-2</v>
      </c>
      <c r="L94" s="113">
        <f t="shared" si="14"/>
        <v>1.6E-2</v>
      </c>
      <c r="M94" s="113">
        <f t="shared" si="15"/>
        <v>1.6E-2</v>
      </c>
      <c r="N94" s="51"/>
      <c r="O94" s="115">
        <v>-0.04</v>
      </c>
      <c r="P94" s="132">
        <f>P85+B18</f>
        <v>5733.53</v>
      </c>
      <c r="Q94" s="115">
        <v>-0.04</v>
      </c>
      <c r="R94" s="51"/>
      <c r="S94" s="113">
        <f t="shared" si="16"/>
        <v>-1.6E-2</v>
      </c>
      <c r="T94" s="113">
        <f t="shared" si="17"/>
        <v>-1.6E-2</v>
      </c>
      <c r="U94" s="113">
        <f t="shared" si="18"/>
        <v>-1.6E-2</v>
      </c>
      <c r="V94" s="112">
        <v>-0.04</v>
      </c>
      <c r="W94" s="68"/>
      <c r="X94" s="8"/>
      <c r="Y94" s="8"/>
    </row>
    <row r="95" spans="1:25" x14ac:dyDescent="0.3">
      <c r="I95" s="67"/>
      <c r="J95" s="112">
        <v>-0.04</v>
      </c>
      <c r="K95" s="113">
        <f t="shared" ref="K95:K106" si="19">$K$94-((P95-$P$94)/(($B$13+$B$12)*($B$7)))</f>
        <v>1.3254999999999958E-2</v>
      </c>
      <c r="L95" s="113">
        <f t="shared" ref="L95:L106" si="20">$L$94-((P95-$P$94)/(($B$13+$B$12)*($B$7)))</f>
        <v>1.3254999999999958E-2</v>
      </c>
      <c r="M95" s="112">
        <v>1.6E-2</v>
      </c>
      <c r="N95" s="51"/>
      <c r="O95" s="115">
        <v>-0.04</v>
      </c>
      <c r="P95" s="127">
        <v>5750</v>
      </c>
      <c r="Q95" s="115">
        <v>-0.04</v>
      </c>
      <c r="R95" s="109"/>
      <c r="S95" s="113">
        <f t="shared" ref="S95:S101" si="21">$S$94+((P95-$P$94)/(($B$11)*($B$7)))</f>
        <v>-1.0509999999999915E-2</v>
      </c>
      <c r="T95" s="115">
        <v>-1.6E-2</v>
      </c>
      <c r="U95" s="115">
        <v>-1.6E-2</v>
      </c>
      <c r="V95" s="112">
        <v>-0.04</v>
      </c>
      <c r="W95" s="68"/>
      <c r="X95" s="8"/>
      <c r="Y95" s="8"/>
    </row>
    <row r="96" spans="1:25" x14ac:dyDescent="0.3">
      <c r="I96" s="67"/>
      <c r="J96" s="112">
        <v>-0.04</v>
      </c>
      <c r="K96" s="113">
        <f t="shared" si="19"/>
        <v>8.0000000000000002E-3</v>
      </c>
      <c r="L96" s="113">
        <f t="shared" si="20"/>
        <v>8.0000000000000002E-3</v>
      </c>
      <c r="M96" s="112">
        <v>1.6E-2</v>
      </c>
      <c r="N96" s="51"/>
      <c r="O96" s="115">
        <v>-0.04</v>
      </c>
      <c r="P96" s="132">
        <f>P94+B32</f>
        <v>5781.53</v>
      </c>
      <c r="Q96" s="115">
        <v>-0.04</v>
      </c>
      <c r="R96" s="109"/>
      <c r="S96" s="113">
        <f t="shared" si="21"/>
        <v>0</v>
      </c>
      <c r="T96" s="115">
        <v>-1.6E-2</v>
      </c>
      <c r="U96" s="115">
        <v>-1.6E-2</v>
      </c>
      <c r="V96" s="112">
        <v>-0.04</v>
      </c>
      <c r="W96" s="68" t="s">
        <v>81</v>
      </c>
      <c r="X96" s="8"/>
      <c r="Y96" s="8"/>
    </row>
    <row r="97" spans="9:25" x14ac:dyDescent="0.3">
      <c r="I97" s="67"/>
      <c r="J97" s="112">
        <v>-0.04</v>
      </c>
      <c r="K97" s="113">
        <f t="shared" si="19"/>
        <v>9.088333333333292E-3</v>
      </c>
      <c r="L97" s="113">
        <f t="shared" si="20"/>
        <v>9.088333333333292E-3</v>
      </c>
      <c r="M97" s="112">
        <v>1.6E-2</v>
      </c>
      <c r="N97" s="51"/>
      <c r="O97" s="115">
        <v>-0.04</v>
      </c>
      <c r="P97" s="127">
        <v>5775</v>
      </c>
      <c r="Q97" s="115">
        <v>-0.04</v>
      </c>
      <c r="R97" s="109"/>
      <c r="S97" s="113">
        <f t="shared" si="21"/>
        <v>-2.176666666666582E-3</v>
      </c>
      <c r="T97" s="115">
        <v>-1.6E-2</v>
      </c>
      <c r="U97" s="115">
        <v>-1.6E-2</v>
      </c>
      <c r="V97" s="112">
        <v>-0.04</v>
      </c>
      <c r="W97" s="68"/>
      <c r="X97" s="8"/>
      <c r="Y97" s="8"/>
    </row>
    <row r="98" spans="9:25" x14ac:dyDescent="0.3">
      <c r="I98" s="70"/>
      <c r="J98" s="112">
        <v>-0.04</v>
      </c>
      <c r="K98" s="113">
        <f t="shared" si="19"/>
        <v>8.0000000000000002E-3</v>
      </c>
      <c r="L98" s="113">
        <f t="shared" si="20"/>
        <v>8.0000000000000002E-3</v>
      </c>
      <c r="M98" s="112">
        <v>1.6E-2</v>
      </c>
      <c r="N98" s="51"/>
      <c r="O98" s="115">
        <v>-0.04</v>
      </c>
      <c r="P98" s="132">
        <f>P94+48</f>
        <v>5781.53</v>
      </c>
      <c r="Q98" s="115">
        <v>-0.04</v>
      </c>
      <c r="R98" s="109"/>
      <c r="S98" s="113">
        <f t="shared" si="21"/>
        <v>0</v>
      </c>
      <c r="T98" s="115">
        <v>-1.6E-2</v>
      </c>
      <c r="U98" s="115">
        <v>-1.6E-2</v>
      </c>
      <c r="V98" s="112">
        <v>-0.04</v>
      </c>
      <c r="W98" s="68"/>
      <c r="X98" s="8"/>
      <c r="Y98" s="8"/>
    </row>
    <row r="99" spans="9:25" x14ac:dyDescent="0.3">
      <c r="I99" s="67"/>
      <c r="J99" s="112">
        <v>-0.04</v>
      </c>
      <c r="K99" s="113">
        <f t="shared" si="19"/>
        <v>4.9216666666666246E-3</v>
      </c>
      <c r="L99" s="113">
        <f t="shared" si="20"/>
        <v>4.9216666666666246E-3</v>
      </c>
      <c r="M99" s="112">
        <v>1.6E-2</v>
      </c>
      <c r="N99" s="51"/>
      <c r="O99" s="115">
        <v>-0.04</v>
      </c>
      <c r="P99" s="127">
        <v>5800</v>
      </c>
      <c r="Q99" s="115">
        <v>-0.04</v>
      </c>
      <c r="R99" s="109"/>
      <c r="S99" s="113">
        <f t="shared" si="21"/>
        <v>6.1566666666667512E-3</v>
      </c>
      <c r="T99" s="115">
        <v>-1.6E-2</v>
      </c>
      <c r="U99" s="115">
        <v>-1.6E-2</v>
      </c>
      <c r="V99" s="112">
        <v>-0.04</v>
      </c>
      <c r="W99" s="68"/>
      <c r="X99" s="8"/>
      <c r="Y99" s="8"/>
    </row>
    <row r="100" spans="9:25" x14ac:dyDescent="0.3">
      <c r="I100" s="67"/>
      <c r="J100" s="112">
        <v>-0.04</v>
      </c>
      <c r="K100" s="113">
        <f t="shared" si="19"/>
        <v>7.5499999999995709E-4</v>
      </c>
      <c r="L100" s="113">
        <f t="shared" si="20"/>
        <v>7.5499999999995709E-4</v>
      </c>
      <c r="M100" s="112">
        <v>1.6E-2</v>
      </c>
      <c r="N100" s="51"/>
      <c r="O100" s="115">
        <v>-0.04</v>
      </c>
      <c r="P100" s="127">
        <v>5825</v>
      </c>
      <c r="Q100" s="115">
        <v>-0.04</v>
      </c>
      <c r="R100" s="109"/>
      <c r="S100" s="113">
        <f t="shared" si="21"/>
        <v>1.4490000000000086E-2</v>
      </c>
      <c r="T100" s="115">
        <v>-1.6E-2</v>
      </c>
      <c r="U100" s="115">
        <v>-1.6E-2</v>
      </c>
      <c r="V100" s="112">
        <v>-0.04</v>
      </c>
      <c r="W100" s="68"/>
      <c r="X100" s="8"/>
      <c r="Y100" s="8"/>
    </row>
    <row r="101" spans="9:25" x14ac:dyDescent="0.3">
      <c r="I101" s="70" t="s">
        <v>135</v>
      </c>
      <c r="J101" s="112">
        <v>-0.04</v>
      </c>
      <c r="K101" s="113">
        <f t="shared" si="19"/>
        <v>0</v>
      </c>
      <c r="L101" s="113">
        <f t="shared" si="20"/>
        <v>0</v>
      </c>
      <c r="M101" s="112">
        <v>1.6E-2</v>
      </c>
      <c r="N101" s="51"/>
      <c r="O101" s="115">
        <v>-0.04</v>
      </c>
      <c r="P101" s="132">
        <f>P90+B20</f>
        <v>5829.53</v>
      </c>
      <c r="Q101" s="115">
        <v>-0.04</v>
      </c>
      <c r="R101" s="109"/>
      <c r="S101" s="113">
        <f t="shared" si="21"/>
        <v>1.6E-2</v>
      </c>
      <c r="T101" s="115">
        <v>-1.6E-2</v>
      </c>
      <c r="U101" s="115">
        <v>-1.6E-2</v>
      </c>
      <c r="V101" s="112">
        <v>-0.04</v>
      </c>
      <c r="W101" s="68"/>
      <c r="X101" s="8"/>
      <c r="Y101" s="8"/>
    </row>
    <row r="102" spans="9:25" x14ac:dyDescent="0.3">
      <c r="I102" s="67"/>
      <c r="J102" s="112">
        <v>-0.04</v>
      </c>
      <c r="K102" s="113">
        <f t="shared" si="19"/>
        <v>-3.4116666666667086E-3</v>
      </c>
      <c r="L102" s="113">
        <f t="shared" si="20"/>
        <v>-3.4116666666667086E-3</v>
      </c>
      <c r="M102" s="112">
        <v>1.6E-2</v>
      </c>
      <c r="N102" s="51"/>
      <c r="O102" s="115">
        <v>-0.04</v>
      </c>
      <c r="P102" s="127">
        <v>5850</v>
      </c>
      <c r="Q102" s="115">
        <v>-0.04</v>
      </c>
      <c r="R102" s="109"/>
      <c r="S102" s="115">
        <v>1.6E-2</v>
      </c>
      <c r="T102" s="115">
        <v>-1.6E-2</v>
      </c>
      <c r="U102" s="115">
        <v>-1.6E-2</v>
      </c>
      <c r="V102" s="112">
        <v>-0.04</v>
      </c>
      <c r="W102" s="68"/>
      <c r="X102" s="8"/>
      <c r="Y102" s="8"/>
    </row>
    <row r="103" spans="9:25" x14ac:dyDescent="0.3">
      <c r="I103" s="67"/>
      <c r="J103" s="112">
        <v>-0.04</v>
      </c>
      <c r="K103" s="113">
        <f t="shared" si="19"/>
        <v>-7.5783333333333744E-3</v>
      </c>
      <c r="L103" s="113">
        <f t="shared" si="20"/>
        <v>-7.5783333333333744E-3</v>
      </c>
      <c r="M103" s="112">
        <v>1.6E-2</v>
      </c>
      <c r="N103" s="51"/>
      <c r="O103" s="115">
        <v>-0.04</v>
      </c>
      <c r="P103" s="127">
        <v>5875</v>
      </c>
      <c r="Q103" s="115">
        <v>-0.04</v>
      </c>
      <c r="R103" s="109"/>
      <c r="S103" s="115">
        <v>1.6E-2</v>
      </c>
      <c r="T103" s="115">
        <v>-1.6E-2</v>
      </c>
      <c r="U103" s="115">
        <v>-1.6E-2</v>
      </c>
      <c r="V103" s="112">
        <v>-0.04</v>
      </c>
      <c r="W103" s="68"/>
      <c r="X103" s="8"/>
      <c r="Y103" s="8"/>
    </row>
    <row r="104" spans="9:25" x14ac:dyDescent="0.3">
      <c r="I104" s="67"/>
      <c r="J104" s="112">
        <v>-0.04</v>
      </c>
      <c r="K104" s="113">
        <f t="shared" si="19"/>
        <v>-1.1745000000000044E-2</v>
      </c>
      <c r="L104" s="113">
        <f t="shared" si="20"/>
        <v>-1.1745000000000044E-2</v>
      </c>
      <c r="M104" s="112">
        <v>1.6E-2</v>
      </c>
      <c r="N104" s="51"/>
      <c r="O104" s="115">
        <v>-0.04</v>
      </c>
      <c r="P104" s="127">
        <v>5900</v>
      </c>
      <c r="Q104" s="115">
        <v>-0.04</v>
      </c>
      <c r="R104" s="109"/>
      <c r="S104" s="115">
        <v>1.6E-2</v>
      </c>
      <c r="T104" s="115">
        <v>-1.6E-2</v>
      </c>
      <c r="U104" s="115">
        <v>-1.6E-2</v>
      </c>
      <c r="V104" s="112">
        <v>-0.04</v>
      </c>
      <c r="W104" s="68"/>
      <c r="X104" s="8"/>
      <c r="Y104" s="8"/>
    </row>
    <row r="105" spans="9:25" x14ac:dyDescent="0.3">
      <c r="I105" s="67"/>
      <c r="J105" s="112">
        <v>-0.04</v>
      </c>
      <c r="K105" s="113">
        <f t="shared" si="19"/>
        <v>-1.5911666666666706E-2</v>
      </c>
      <c r="L105" s="113">
        <f t="shared" si="20"/>
        <v>-1.5911666666666706E-2</v>
      </c>
      <c r="M105" s="112">
        <v>1.6E-2</v>
      </c>
      <c r="N105" s="51"/>
      <c r="O105" s="115">
        <v>-0.04</v>
      </c>
      <c r="P105" s="127">
        <v>5925</v>
      </c>
      <c r="Q105" s="115">
        <v>-0.04</v>
      </c>
      <c r="R105" s="109"/>
      <c r="S105" s="115">
        <v>1.6E-2</v>
      </c>
      <c r="T105" s="115">
        <v>-1.6E-2</v>
      </c>
      <c r="U105" s="115">
        <v>-1.6E-2</v>
      </c>
      <c r="V105" s="112">
        <v>-0.04</v>
      </c>
      <c r="W105" s="68"/>
      <c r="X105" s="8"/>
      <c r="Y105" s="8"/>
    </row>
    <row r="106" spans="9:25" ht="15" thickBot="1" x14ac:dyDescent="0.35">
      <c r="I106" s="73" t="s">
        <v>84</v>
      </c>
      <c r="J106" s="117">
        <v>-0.04</v>
      </c>
      <c r="K106" s="113">
        <f t="shared" si="19"/>
        <v>-1.6E-2</v>
      </c>
      <c r="L106" s="113">
        <f t="shared" si="20"/>
        <v>-1.6E-2</v>
      </c>
      <c r="M106" s="117">
        <v>1.6E-2</v>
      </c>
      <c r="N106" s="76"/>
      <c r="O106" s="116">
        <v>-0.04</v>
      </c>
      <c r="P106" s="133">
        <f>P101+B15</f>
        <v>5925.53</v>
      </c>
      <c r="Q106" s="116">
        <v>-0.04</v>
      </c>
      <c r="R106" s="110"/>
      <c r="S106" s="116">
        <v>1.6E-2</v>
      </c>
      <c r="T106" s="116">
        <v>-1.6E-2</v>
      </c>
      <c r="U106" s="116">
        <v>-1.6E-2</v>
      </c>
      <c r="V106" s="117">
        <v>-0.04</v>
      </c>
      <c r="W106" s="80"/>
      <c r="X106" s="8"/>
      <c r="Y106" s="8"/>
    </row>
    <row r="107" spans="9:25" x14ac:dyDescent="0.3">
      <c r="I107" s="8"/>
      <c r="J107" s="1"/>
      <c r="K107" s="1"/>
      <c r="L107" s="1"/>
      <c r="M107" s="1"/>
      <c r="N107" s="1"/>
      <c r="O107" s="1"/>
      <c r="P107" s="42"/>
      <c r="Q107" s="1"/>
      <c r="R107" s="1"/>
      <c r="W107" s="35"/>
      <c r="X107" s="8"/>
      <c r="Y107" s="8"/>
    </row>
    <row r="108" spans="9:25" x14ac:dyDescent="0.3">
      <c r="I108" s="8"/>
      <c r="J108" s="1"/>
      <c r="K108" s="1"/>
      <c r="L108" s="1"/>
      <c r="M108" s="1"/>
      <c r="N108" s="1"/>
      <c r="O108" s="1"/>
      <c r="P108" s="42"/>
      <c r="Q108" s="1"/>
      <c r="R108" s="1"/>
      <c r="W108" s="35"/>
      <c r="X108" s="8"/>
      <c r="Y108" s="8"/>
    </row>
    <row r="109" spans="9:25" x14ac:dyDescent="0.3">
      <c r="I109" s="8"/>
      <c r="J109" s="1"/>
      <c r="K109" s="1"/>
      <c r="L109" s="1"/>
      <c r="M109" s="1"/>
      <c r="N109" s="1"/>
      <c r="O109" s="1"/>
      <c r="P109" s="42"/>
      <c r="Q109" s="1"/>
      <c r="R109" s="1"/>
      <c r="W109" s="35"/>
      <c r="X109" s="8"/>
      <c r="Y109" s="8"/>
    </row>
    <row r="110" spans="9:25" x14ac:dyDescent="0.3">
      <c r="I110" s="8"/>
      <c r="J110" s="1"/>
      <c r="K110" s="1"/>
      <c r="L110" s="1"/>
      <c r="M110" s="1"/>
      <c r="N110" s="1"/>
      <c r="O110" s="1"/>
      <c r="P110" s="42"/>
      <c r="W110" s="35"/>
      <c r="X110" s="8"/>
      <c r="Y110" s="8"/>
    </row>
    <row r="111" spans="9:25" x14ac:dyDescent="0.3">
      <c r="I111" s="8"/>
      <c r="J111" s="1"/>
      <c r="K111" s="1"/>
      <c r="L111" s="1"/>
      <c r="M111" s="1"/>
      <c r="N111" s="1"/>
      <c r="O111" s="1"/>
      <c r="P111" s="42"/>
      <c r="W111" s="35"/>
      <c r="X111" s="8"/>
      <c r="Y111" s="8"/>
    </row>
    <row r="112" spans="9:25" x14ac:dyDescent="0.3">
      <c r="I112" s="8"/>
      <c r="J112" s="1"/>
      <c r="K112" s="1"/>
      <c r="L112" s="1"/>
      <c r="M112" s="1"/>
      <c r="N112" s="1"/>
      <c r="O112" s="1"/>
      <c r="P112" s="42"/>
      <c r="W112" s="35"/>
      <c r="X112" s="8"/>
      <c r="Y112" s="8"/>
    </row>
    <row r="113" spans="9:25" x14ac:dyDescent="0.3">
      <c r="I113" s="8"/>
      <c r="J113" s="1"/>
      <c r="K113" s="1"/>
      <c r="L113" s="1"/>
      <c r="M113" s="1"/>
      <c r="N113" s="1"/>
      <c r="O113" s="1"/>
      <c r="P113" s="42"/>
      <c r="W113" s="35"/>
      <c r="X113" s="8"/>
      <c r="Y113" s="8"/>
    </row>
    <row r="114" spans="9:25" x14ac:dyDescent="0.3">
      <c r="I114" s="8"/>
      <c r="J114" s="1"/>
      <c r="K114" s="1"/>
      <c r="L114" s="1"/>
      <c r="M114" s="1"/>
      <c r="N114" s="1"/>
      <c r="O114" s="1"/>
      <c r="P114" s="42"/>
      <c r="W114" s="35"/>
      <c r="X114" s="8"/>
      <c r="Y114" s="8"/>
    </row>
  </sheetData>
  <mergeCells count="10">
    <mergeCell ref="D32:F37"/>
    <mergeCell ref="J53:O53"/>
    <mergeCell ref="Q53:V53"/>
    <mergeCell ref="J79:V81"/>
    <mergeCell ref="A1:C1"/>
    <mergeCell ref="A14:C14"/>
    <mergeCell ref="D14:F14"/>
    <mergeCell ref="D15:F22"/>
    <mergeCell ref="A31:C31"/>
    <mergeCell ref="D31:F3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AA237-C246-42F2-8330-112043B8EB6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9AFE-F3C3-463F-A9DF-7F01202F42BC}">
  <dimension ref="A1:K5"/>
  <sheetViews>
    <sheetView workbookViewId="0">
      <selection activeCell="B5" sqref="B5"/>
    </sheetView>
  </sheetViews>
  <sheetFormatPr defaultRowHeight="14.4" x14ac:dyDescent="0.3"/>
  <cols>
    <col min="1" max="1" width="8.88671875" style="8"/>
    <col min="2" max="2" width="89.33203125" style="8" bestFit="1" customWidth="1"/>
    <col min="3" max="11" width="8.88671875" style="8"/>
  </cols>
  <sheetData>
    <row r="1" spans="1:2" x14ac:dyDescent="0.3">
      <c r="A1" s="163" t="s">
        <v>36</v>
      </c>
      <c r="B1" s="163"/>
    </row>
    <row r="2" spans="1:2" ht="115.2" x14ac:dyDescent="0.3">
      <c r="A2" s="8">
        <v>1</v>
      </c>
      <c r="B2" s="34" t="s">
        <v>37</v>
      </c>
    </row>
    <row r="3" spans="1:2" x14ac:dyDescent="0.3">
      <c r="A3" s="8">
        <v>2</v>
      </c>
      <c r="B3" s="35" t="s">
        <v>38</v>
      </c>
    </row>
    <row r="4" spans="1:2" x14ac:dyDescent="0.3">
      <c r="A4" s="8">
        <v>3</v>
      </c>
      <c r="B4" s="35" t="s">
        <v>39</v>
      </c>
    </row>
    <row r="5" spans="1:2" ht="28.8" x14ac:dyDescent="0.3">
      <c r="A5" s="8">
        <v>4</v>
      </c>
      <c r="B5" s="36" t="s">
        <v>40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878C6-E1C6-4AE9-A0EC-0D839EBA547A}">
  <dimension ref="A1:AA123"/>
  <sheetViews>
    <sheetView tabSelected="1" topLeftCell="I85" zoomScale="130" zoomScaleNormal="130" workbookViewId="0">
      <selection activeCell="W93" sqref="W93"/>
    </sheetView>
  </sheetViews>
  <sheetFormatPr defaultRowHeight="14.4" x14ac:dyDescent="0.3"/>
  <cols>
    <col min="1" max="2" width="17.77734375" style="8" bestFit="1" customWidth="1"/>
    <col min="3" max="3" width="59.77734375" style="8" customWidth="1"/>
    <col min="4" max="5" width="17.77734375" style="8" customWidth="1"/>
    <col min="6" max="6" width="59.77734375" style="8" customWidth="1"/>
    <col min="7" max="7" width="7.109375" style="8" bestFit="1" customWidth="1"/>
    <col min="8" max="8" width="15.6640625" style="8" customWidth="1"/>
    <col min="9" max="9" width="55.88671875" bestFit="1" customWidth="1"/>
    <col min="10" max="10" width="11.109375" style="40" bestFit="1" customWidth="1"/>
    <col min="11" max="13" width="12.33203125" style="40" bestFit="1" customWidth="1"/>
    <col min="14" max="14" width="19.88671875" style="40" bestFit="1" customWidth="1"/>
    <col min="15" max="15" width="12.44140625" style="40" bestFit="1" customWidth="1"/>
    <col min="16" max="16" width="17.33203125" style="40" bestFit="1" customWidth="1"/>
    <col min="17" max="17" width="23" style="41" bestFit="1" customWidth="1"/>
    <col min="18" max="18" width="17" style="42" bestFit="1" customWidth="1"/>
    <col min="19" max="19" width="19.88671875" style="42" bestFit="1" customWidth="1"/>
    <col min="20" max="20" width="19.88671875" style="42" customWidth="1"/>
    <col min="21" max="21" width="12.44140625" style="1" bestFit="1" customWidth="1"/>
    <col min="22" max="23" width="12.44140625" style="1" customWidth="1"/>
    <col min="24" max="24" width="11.109375" style="1" customWidth="1"/>
    <col min="25" max="25" width="45.77734375" style="45" bestFit="1" customWidth="1"/>
  </cols>
  <sheetData>
    <row r="1" spans="1:27" ht="63" customHeight="1" thickBot="1" x14ac:dyDescent="0.35">
      <c r="A1" s="167" t="s">
        <v>57</v>
      </c>
      <c r="B1" s="168"/>
      <c r="C1" s="168"/>
      <c r="D1" s="81"/>
      <c r="E1" s="81"/>
      <c r="F1" s="81"/>
      <c r="G1" s="81"/>
      <c r="H1" s="81"/>
      <c r="I1" s="81"/>
    </row>
    <row r="2" spans="1:27" x14ac:dyDescent="0.3">
      <c r="A2" s="43" t="s">
        <v>42</v>
      </c>
      <c r="B2" s="90">
        <v>124394.772</v>
      </c>
      <c r="C2" s="82"/>
      <c r="D2"/>
      <c r="E2"/>
      <c r="F2"/>
      <c r="G2"/>
      <c r="H2"/>
    </row>
    <row r="3" spans="1:27" x14ac:dyDescent="0.3">
      <c r="A3" s="44" t="s">
        <v>43</v>
      </c>
      <c r="B3" s="91">
        <v>121464.109</v>
      </c>
      <c r="C3" s="83"/>
      <c r="D3"/>
      <c r="E3"/>
      <c r="F3" s="155">
        <f>B4-B3</f>
        <v>5028.6929999999993</v>
      </c>
      <c r="G3"/>
      <c r="H3"/>
    </row>
    <row r="4" spans="1:27" x14ac:dyDescent="0.3">
      <c r="A4" s="44" t="s">
        <v>44</v>
      </c>
      <c r="B4" s="91">
        <v>126492.802</v>
      </c>
      <c r="C4" s="83"/>
      <c r="D4"/>
      <c r="E4"/>
      <c r="F4"/>
      <c r="G4"/>
      <c r="H4"/>
    </row>
    <row r="5" spans="1:27" ht="16.2" x14ac:dyDescent="0.3">
      <c r="A5" s="44" t="s">
        <v>1</v>
      </c>
      <c r="B5" s="37" t="s">
        <v>47</v>
      </c>
      <c r="C5" s="83" t="s">
        <v>103</v>
      </c>
      <c r="D5"/>
      <c r="E5"/>
      <c r="F5"/>
      <c r="G5"/>
      <c r="H5"/>
    </row>
    <row r="6" spans="1:27" x14ac:dyDescent="0.3">
      <c r="A6" s="44" t="s">
        <v>45</v>
      </c>
      <c r="B6" s="37" t="s">
        <v>6</v>
      </c>
      <c r="C6" s="83"/>
      <c r="D6"/>
      <c r="E6"/>
      <c r="F6"/>
      <c r="G6"/>
      <c r="H6"/>
    </row>
    <row r="7" spans="1:27" x14ac:dyDescent="0.3">
      <c r="A7" s="44" t="s">
        <v>46</v>
      </c>
      <c r="B7" s="37">
        <v>250</v>
      </c>
      <c r="C7" s="83"/>
      <c r="D7"/>
      <c r="E7"/>
      <c r="F7"/>
      <c r="G7"/>
      <c r="H7"/>
    </row>
    <row r="8" spans="1:27" x14ac:dyDescent="0.3">
      <c r="A8" s="44" t="s">
        <v>8</v>
      </c>
      <c r="B8" s="38" t="s">
        <v>52</v>
      </c>
      <c r="C8" s="37" t="s">
        <v>48</v>
      </c>
      <c r="I8" s="8"/>
      <c r="K8" s="1"/>
      <c r="L8" s="1"/>
      <c r="M8" s="1"/>
      <c r="N8" s="1"/>
      <c r="O8" s="1"/>
      <c r="P8" s="1"/>
      <c r="Q8" s="42"/>
      <c r="Y8" s="35"/>
      <c r="Z8" s="8"/>
      <c r="AA8" s="8"/>
    </row>
    <row r="9" spans="1:27" x14ac:dyDescent="0.3">
      <c r="A9" s="44"/>
      <c r="B9" s="39">
        <v>4.5999999999999999E-2</v>
      </c>
      <c r="C9" s="83" t="s">
        <v>49</v>
      </c>
      <c r="D9"/>
      <c r="E9"/>
      <c r="F9"/>
      <c r="G9"/>
      <c r="H9"/>
      <c r="P9" s="1"/>
      <c r="Q9" s="42"/>
      <c r="Y9" s="35"/>
      <c r="Z9" s="8"/>
      <c r="AA9" s="8"/>
    </row>
    <row r="10" spans="1:27" ht="15" thickBot="1" x14ac:dyDescent="0.35">
      <c r="A10" s="44" t="s">
        <v>51</v>
      </c>
      <c r="B10" s="39">
        <v>1.6E-2</v>
      </c>
      <c r="C10" s="83"/>
      <c r="D10"/>
      <c r="E10"/>
      <c r="F10"/>
      <c r="G10"/>
      <c r="H10"/>
      <c r="P10" s="1"/>
      <c r="Q10" s="42"/>
      <c r="Y10" s="35"/>
      <c r="Z10" s="8"/>
      <c r="AA10" s="8"/>
    </row>
    <row r="11" spans="1:27" ht="15" thickBot="1" x14ac:dyDescent="0.35">
      <c r="A11" s="169" t="s">
        <v>92</v>
      </c>
      <c r="B11" s="170"/>
      <c r="C11" s="171"/>
      <c r="D11" s="169" t="s">
        <v>94</v>
      </c>
      <c r="E11" s="170"/>
      <c r="F11" s="171"/>
      <c r="G11"/>
      <c r="H11"/>
      <c r="P11" s="1"/>
      <c r="Q11" s="42"/>
      <c r="Y11" s="35"/>
      <c r="Z11" s="8"/>
      <c r="AA11" s="8"/>
    </row>
    <row r="12" spans="1:27" x14ac:dyDescent="0.3">
      <c r="A12" s="92" t="s">
        <v>50</v>
      </c>
      <c r="B12" s="84">
        <f>(24)*(B10)*(B7)</f>
        <v>96</v>
      </c>
      <c r="C12" s="84" t="s">
        <v>61</v>
      </c>
      <c r="D12" s="175"/>
      <c r="E12" s="176"/>
      <c r="F12" s="177"/>
      <c r="I12" s="8"/>
      <c r="J12" s="1"/>
      <c r="K12" s="1"/>
      <c r="L12" s="1"/>
      <c r="M12" s="1"/>
      <c r="N12" s="1"/>
      <c r="O12" s="1"/>
      <c r="P12" s="1"/>
      <c r="Q12" s="42"/>
      <c r="Y12" s="35"/>
      <c r="Z12" s="8"/>
      <c r="AA12" s="8"/>
    </row>
    <row r="13" spans="1:27" x14ac:dyDescent="0.3">
      <c r="A13" s="92" t="s">
        <v>53</v>
      </c>
      <c r="B13" s="84" t="s">
        <v>54</v>
      </c>
      <c r="C13" s="84" t="s">
        <v>58</v>
      </c>
      <c r="D13" s="178"/>
      <c r="E13" s="179"/>
      <c r="F13" s="180"/>
      <c r="I13" s="8"/>
      <c r="J13" s="1"/>
      <c r="K13" s="1"/>
      <c r="L13" s="1"/>
      <c r="M13" s="1"/>
      <c r="N13" s="1"/>
      <c r="O13" s="1"/>
      <c r="P13" s="1"/>
      <c r="Q13" s="42"/>
      <c r="Y13" s="35"/>
      <c r="Z13" s="8"/>
      <c r="AA13" s="8"/>
    </row>
    <row r="14" spans="1:27" x14ac:dyDescent="0.3">
      <c r="A14" s="92" t="s">
        <v>55</v>
      </c>
      <c r="B14" s="84">
        <f>(24)*(B10)*(B7)</f>
        <v>96</v>
      </c>
      <c r="C14" s="84"/>
      <c r="D14" s="178"/>
      <c r="E14" s="179"/>
      <c r="F14" s="180"/>
      <c r="I14" s="8"/>
      <c r="J14" s="1"/>
      <c r="K14" s="1"/>
      <c r="L14" s="1"/>
      <c r="M14" s="1"/>
      <c r="N14" s="1"/>
      <c r="O14" s="1"/>
      <c r="P14" s="1"/>
      <c r="Q14" s="42"/>
      <c r="Y14" s="35"/>
      <c r="Z14" s="8"/>
      <c r="AA14" s="8"/>
    </row>
    <row r="15" spans="1:27" x14ac:dyDescent="0.3">
      <c r="A15" s="92" t="s">
        <v>56</v>
      </c>
      <c r="B15" s="84">
        <f>(36)*(B9-B10)*(B7)</f>
        <v>270</v>
      </c>
      <c r="C15" s="84" t="s">
        <v>60</v>
      </c>
      <c r="D15" s="178"/>
      <c r="E15" s="179"/>
      <c r="F15" s="180"/>
      <c r="I15" s="8"/>
      <c r="J15" s="1"/>
      <c r="K15" s="1"/>
      <c r="L15" s="1"/>
      <c r="M15" s="1"/>
      <c r="N15" s="1"/>
      <c r="O15" s="1"/>
      <c r="P15" s="1"/>
      <c r="Q15" s="42"/>
      <c r="Y15" s="35"/>
      <c r="Z15" s="8"/>
      <c r="AA15" s="8"/>
    </row>
    <row r="16" spans="1:27" x14ac:dyDescent="0.3">
      <c r="A16" s="92" t="s">
        <v>53</v>
      </c>
      <c r="B16" s="84">
        <f>B14+B15</f>
        <v>366</v>
      </c>
      <c r="C16" s="84"/>
      <c r="D16" s="178"/>
      <c r="E16" s="179"/>
      <c r="F16" s="180"/>
      <c r="I16" s="8"/>
      <c r="J16" s="1"/>
      <c r="K16" s="1"/>
      <c r="L16" s="1"/>
      <c r="M16" s="1"/>
      <c r="N16" s="1"/>
      <c r="O16" s="1"/>
      <c r="P16" s="1"/>
      <c r="Q16" s="42"/>
      <c r="Y16" s="35"/>
      <c r="Z16" s="8"/>
      <c r="AA16" s="8"/>
    </row>
    <row r="17" spans="1:27" x14ac:dyDescent="0.3">
      <c r="A17" s="92" t="s">
        <v>62</v>
      </c>
      <c r="B17" s="84">
        <f>(2/3)*(B16)</f>
        <v>244</v>
      </c>
      <c r="C17" s="84"/>
      <c r="D17" s="178"/>
      <c r="E17" s="179"/>
      <c r="F17" s="180"/>
      <c r="I17" s="8"/>
      <c r="J17" s="1"/>
      <c r="K17" s="1"/>
      <c r="L17" s="1"/>
      <c r="M17" s="1"/>
      <c r="N17" s="1"/>
      <c r="O17" s="1"/>
      <c r="P17" s="1"/>
      <c r="Q17" s="42"/>
      <c r="Y17" s="35"/>
      <c r="Z17" s="8"/>
      <c r="AA17" s="8"/>
    </row>
    <row r="18" spans="1:27" x14ac:dyDescent="0.3">
      <c r="A18" s="92" t="s">
        <v>86</v>
      </c>
      <c r="B18" s="84">
        <f>(1/3)*(B16)</f>
        <v>122</v>
      </c>
      <c r="C18" s="84"/>
      <c r="D18" s="178"/>
      <c r="E18" s="179"/>
      <c r="F18" s="180"/>
      <c r="I18" s="8"/>
      <c r="J18" s="1"/>
      <c r="K18" s="1"/>
      <c r="L18" s="1"/>
      <c r="M18" s="1"/>
      <c r="N18" s="1"/>
      <c r="O18" s="1"/>
      <c r="P18" s="1"/>
      <c r="Q18" s="42"/>
      <c r="Y18" s="35"/>
      <c r="Z18" s="8"/>
      <c r="AA18" s="8"/>
    </row>
    <row r="19" spans="1:27" x14ac:dyDescent="0.3">
      <c r="A19" s="98"/>
      <c r="B19" s="99"/>
      <c r="C19" s="99"/>
      <c r="D19" s="181"/>
      <c r="E19" s="182"/>
      <c r="F19" s="183"/>
      <c r="I19" s="8"/>
      <c r="J19" s="1"/>
      <c r="K19" s="1"/>
      <c r="L19" s="1"/>
      <c r="M19" s="1"/>
      <c r="N19" s="1"/>
      <c r="O19" s="1"/>
      <c r="P19" s="1"/>
      <c r="Q19" s="42"/>
      <c r="Y19" s="35"/>
      <c r="Z19" s="8"/>
      <c r="AA19" s="8"/>
    </row>
    <row r="20" spans="1:27" x14ac:dyDescent="0.3">
      <c r="A20" s="92" t="s">
        <v>88</v>
      </c>
      <c r="B20" s="94">
        <f>(B21)-B12</f>
        <v>121124.109</v>
      </c>
      <c r="C20" s="84" t="s">
        <v>89</v>
      </c>
      <c r="D20" s="92" t="s">
        <v>90</v>
      </c>
      <c r="E20" s="94">
        <f>E22-(B18)</f>
        <v>126370.8</v>
      </c>
      <c r="F20" s="84" t="s">
        <v>98</v>
      </c>
      <c r="I20" s="8"/>
      <c r="J20" s="1"/>
      <c r="K20" s="1"/>
      <c r="L20" s="1"/>
      <c r="M20" s="1"/>
      <c r="N20" s="1"/>
      <c r="O20" s="1"/>
      <c r="P20" s="1"/>
      <c r="Q20" s="42"/>
      <c r="Y20" s="35"/>
      <c r="Z20" s="8"/>
      <c r="AA20" s="8"/>
    </row>
    <row r="21" spans="1:27" x14ac:dyDescent="0.3">
      <c r="A21" s="92"/>
      <c r="B21" s="94">
        <f>(B25)-(B17)</f>
        <v>121220.109</v>
      </c>
      <c r="C21" s="84" t="s">
        <v>96</v>
      </c>
      <c r="D21" s="92"/>
      <c r="E21" s="94">
        <f>E20+((B9-0.04)*(36)*(B7))</f>
        <v>126424.8</v>
      </c>
      <c r="F21" s="97">
        <v>0.04</v>
      </c>
      <c r="I21" s="8"/>
      <c r="J21" s="1"/>
      <c r="K21" s="1"/>
      <c r="L21" s="1"/>
      <c r="M21" s="1"/>
      <c r="N21" s="1"/>
      <c r="O21" s="1"/>
      <c r="P21" s="1"/>
      <c r="Q21" s="42"/>
      <c r="Y21" s="35"/>
      <c r="Z21" s="8"/>
      <c r="AA21" s="8"/>
    </row>
    <row r="22" spans="1:27" x14ac:dyDescent="0.3">
      <c r="A22" s="92"/>
      <c r="B22" s="94">
        <f>B21+((24)*(B10-0.008)*(B7))</f>
        <v>121268.109</v>
      </c>
      <c r="C22" s="96">
        <v>8.0000000000000002E-3</v>
      </c>
      <c r="D22" s="92" t="s">
        <v>44</v>
      </c>
      <c r="E22" s="94">
        <v>126492.8</v>
      </c>
      <c r="F22" s="96" t="str">
        <f>D22</f>
        <v>PT</v>
      </c>
      <c r="I22" s="8"/>
      <c r="J22" s="1"/>
      <c r="K22" s="1"/>
      <c r="L22" s="1"/>
      <c r="M22" s="1"/>
      <c r="N22" s="1"/>
      <c r="O22" s="1"/>
      <c r="P22" s="1"/>
      <c r="Q22" s="42"/>
      <c r="Y22" s="35"/>
      <c r="Z22" s="8"/>
      <c r="AA22" s="8"/>
    </row>
    <row r="23" spans="1:27" x14ac:dyDescent="0.3">
      <c r="A23" s="92"/>
      <c r="B23" s="94">
        <f>B21+B12</f>
        <v>121316.109</v>
      </c>
      <c r="C23" s="96">
        <v>1.6E-2</v>
      </c>
      <c r="D23" s="92"/>
      <c r="E23" s="94">
        <f>E20+((B9-0.03)*(36)*(B7))</f>
        <v>126514.8</v>
      </c>
      <c r="F23" s="96">
        <v>0.03</v>
      </c>
      <c r="I23" s="8"/>
      <c r="J23" s="1"/>
      <c r="K23" s="1"/>
      <c r="L23" s="1"/>
      <c r="M23" s="1"/>
      <c r="N23" s="1"/>
      <c r="O23" s="1"/>
      <c r="P23" s="1"/>
      <c r="Q23" s="42"/>
      <c r="Y23" s="35"/>
      <c r="Z23" s="8"/>
      <c r="AA23" s="8"/>
    </row>
    <row r="24" spans="1:27" x14ac:dyDescent="0.3">
      <c r="A24" s="92"/>
      <c r="B24" s="94">
        <f>B23+((36)*(0.03-B10)*(B7))</f>
        <v>121442.109</v>
      </c>
      <c r="C24" s="96">
        <v>0.03</v>
      </c>
      <c r="D24" s="92"/>
      <c r="E24" s="94">
        <f>E20+((B9-B10)*(36)*(B7))</f>
        <v>126640.8</v>
      </c>
      <c r="F24" s="96">
        <v>1.6E-2</v>
      </c>
      <c r="I24" s="8"/>
      <c r="J24" s="1"/>
      <c r="K24" s="1"/>
      <c r="L24" s="1"/>
      <c r="M24" s="1"/>
      <c r="N24" s="1"/>
      <c r="O24" s="1"/>
      <c r="P24" s="1"/>
      <c r="Q24" s="42"/>
      <c r="Y24" s="35"/>
      <c r="Z24" s="8"/>
      <c r="AA24" s="8"/>
    </row>
    <row r="25" spans="1:27" x14ac:dyDescent="0.3">
      <c r="A25" s="92" t="s">
        <v>43</v>
      </c>
      <c r="B25" s="94">
        <f>B3</f>
        <v>121464.109</v>
      </c>
      <c r="C25" s="84" t="str">
        <f>A25</f>
        <v>PC</v>
      </c>
      <c r="D25" s="92"/>
      <c r="E25" s="94">
        <f>E24+((B10-0.008)*(24)*(B7))</f>
        <v>126688.8</v>
      </c>
      <c r="F25" s="84">
        <v>0.8</v>
      </c>
      <c r="G25" s="100"/>
      <c r="H25" s="100"/>
      <c r="I25" s="8"/>
      <c r="J25" s="1"/>
      <c r="K25" s="1"/>
      <c r="L25" s="1"/>
      <c r="M25" s="1"/>
      <c r="N25" s="1"/>
      <c r="O25" s="1"/>
      <c r="P25" s="1"/>
      <c r="Q25" s="42"/>
      <c r="Y25" s="35"/>
      <c r="Z25" s="8"/>
      <c r="AA25" s="8"/>
    </row>
    <row r="26" spans="1:27" x14ac:dyDescent="0.3">
      <c r="A26" s="92"/>
      <c r="B26" s="94">
        <f>B23+((36)*(0.04-B10)*(B7))</f>
        <v>121532.109</v>
      </c>
      <c r="C26" s="97">
        <v>0.04</v>
      </c>
      <c r="D26" s="92"/>
      <c r="E26" s="94">
        <f>E22+B17</f>
        <v>126736.8</v>
      </c>
      <c r="F26" s="97" t="s">
        <v>99</v>
      </c>
      <c r="G26" s="100">
        <f>E26-E25</f>
        <v>48</v>
      </c>
      <c r="H26" s="100" t="s">
        <v>100</v>
      </c>
      <c r="I26" s="8"/>
      <c r="J26" s="1"/>
      <c r="K26" s="1"/>
      <c r="L26" s="1"/>
      <c r="M26" s="1"/>
      <c r="N26" s="1"/>
      <c r="O26" s="1"/>
      <c r="P26" s="1"/>
      <c r="Q26" s="42"/>
      <c r="Y26" s="35"/>
      <c r="Z26" s="8"/>
      <c r="AA26" s="8"/>
    </row>
    <row r="27" spans="1:27" ht="15" thickBot="1" x14ac:dyDescent="0.35">
      <c r="A27" s="101" t="s">
        <v>90</v>
      </c>
      <c r="B27" s="102">
        <f>B25+B18</f>
        <v>121586.109</v>
      </c>
      <c r="C27" s="103" t="s">
        <v>97</v>
      </c>
      <c r="D27" s="101" t="s">
        <v>88</v>
      </c>
      <c r="E27" s="102">
        <f>E26+B14</f>
        <v>126832.8</v>
      </c>
      <c r="F27" s="103" t="s">
        <v>84</v>
      </c>
      <c r="G27" s="100">
        <f>E27-E20</f>
        <v>462</v>
      </c>
      <c r="H27" s="8" t="s">
        <v>100</v>
      </c>
      <c r="I27" s="8"/>
      <c r="J27" s="1"/>
      <c r="K27" s="1"/>
      <c r="L27" s="1"/>
      <c r="M27" s="1"/>
      <c r="N27" s="1"/>
      <c r="O27" s="1"/>
      <c r="P27" s="1"/>
      <c r="Q27" s="42"/>
      <c r="Y27" s="35"/>
      <c r="Z27" s="8"/>
      <c r="AA27" s="8"/>
    </row>
    <row r="28" spans="1:27" ht="15" thickBot="1" x14ac:dyDescent="0.35">
      <c r="A28" s="172" t="s">
        <v>93</v>
      </c>
      <c r="B28" s="173"/>
      <c r="C28" s="174"/>
      <c r="D28" s="172" t="s">
        <v>95</v>
      </c>
      <c r="E28" s="173"/>
      <c r="F28" s="174"/>
      <c r="I28" s="8"/>
      <c r="J28" s="1"/>
      <c r="K28" s="1"/>
      <c r="L28" s="1"/>
      <c r="M28" s="1"/>
      <c r="N28" s="1"/>
      <c r="O28" s="1"/>
      <c r="P28" s="1"/>
      <c r="Q28" s="42"/>
      <c r="Y28" s="35"/>
      <c r="Z28" s="8"/>
      <c r="AA28" s="8"/>
    </row>
    <row r="29" spans="1:27" x14ac:dyDescent="0.3">
      <c r="A29" s="104" t="s">
        <v>50</v>
      </c>
      <c r="B29" s="89">
        <f>(12)*(B10)*(B7)</f>
        <v>48</v>
      </c>
      <c r="C29" s="89" t="s">
        <v>85</v>
      </c>
      <c r="D29" s="175"/>
      <c r="E29" s="176"/>
      <c r="F29" s="177"/>
      <c r="I29" s="8"/>
      <c r="J29" s="1"/>
      <c r="K29" s="1"/>
      <c r="L29" s="1"/>
      <c r="M29" s="1"/>
      <c r="N29" s="1"/>
      <c r="O29" s="1"/>
      <c r="P29" s="1"/>
      <c r="Q29" s="42"/>
      <c r="Y29" s="35"/>
      <c r="Z29" s="8"/>
      <c r="AA29" s="8"/>
    </row>
    <row r="30" spans="1:27" x14ac:dyDescent="0.3">
      <c r="A30" s="92" t="s">
        <v>53</v>
      </c>
      <c r="B30" s="84" t="s">
        <v>54</v>
      </c>
      <c r="C30" s="84" t="s">
        <v>58</v>
      </c>
      <c r="D30" s="178"/>
      <c r="E30" s="179"/>
      <c r="F30" s="180"/>
      <c r="I30" s="8"/>
      <c r="J30" s="1"/>
      <c r="K30" s="1"/>
      <c r="L30" s="1"/>
      <c r="M30" s="1"/>
      <c r="N30" s="1"/>
      <c r="O30" s="1"/>
      <c r="P30" s="1"/>
      <c r="Q30" s="42"/>
      <c r="Y30" s="35"/>
      <c r="Z30" s="8"/>
      <c r="AA30" s="8"/>
    </row>
    <row r="31" spans="1:27" x14ac:dyDescent="0.3">
      <c r="A31" s="92" t="s">
        <v>55</v>
      </c>
      <c r="B31" s="84">
        <f>(12)*(B10)*(B7)</f>
        <v>48</v>
      </c>
      <c r="C31" s="84"/>
      <c r="D31" s="178"/>
      <c r="E31" s="179"/>
      <c r="F31" s="180"/>
      <c r="I31" s="8"/>
      <c r="J31" s="1"/>
      <c r="K31" s="1"/>
      <c r="L31" s="1"/>
      <c r="M31" s="1"/>
      <c r="N31" s="1"/>
      <c r="O31" s="1"/>
      <c r="P31" s="1"/>
      <c r="Q31" s="42"/>
      <c r="Y31" s="35"/>
      <c r="Z31" s="8"/>
      <c r="AA31" s="8"/>
    </row>
    <row r="32" spans="1:27" x14ac:dyDescent="0.3">
      <c r="A32" s="92" t="s">
        <v>56</v>
      </c>
      <c r="B32" s="84">
        <f>(36)*(B9-B10)*(B7)</f>
        <v>270</v>
      </c>
      <c r="C32" s="84" t="s">
        <v>60</v>
      </c>
      <c r="D32" s="178"/>
      <c r="E32" s="179"/>
      <c r="F32" s="180"/>
      <c r="I32" s="8"/>
      <c r="J32" s="1"/>
      <c r="K32" s="1"/>
      <c r="L32" s="1"/>
      <c r="M32" s="1"/>
      <c r="N32" s="1"/>
      <c r="O32" s="1"/>
      <c r="P32" s="1"/>
      <c r="Q32" s="42"/>
      <c r="Y32" s="35"/>
      <c r="Z32" s="8"/>
      <c r="AA32" s="8"/>
    </row>
    <row r="33" spans="1:27" x14ac:dyDescent="0.3">
      <c r="A33" s="92" t="s">
        <v>53</v>
      </c>
      <c r="B33" s="84">
        <f>B31+B32</f>
        <v>318</v>
      </c>
      <c r="C33" s="84"/>
      <c r="D33" s="178"/>
      <c r="E33" s="179"/>
      <c r="F33" s="180"/>
      <c r="I33" s="8"/>
      <c r="J33" s="1"/>
      <c r="K33" s="1"/>
      <c r="L33" s="1"/>
      <c r="M33" s="1"/>
      <c r="N33" s="1"/>
      <c r="O33" s="1"/>
      <c r="P33" s="1"/>
      <c r="Q33" s="42"/>
      <c r="Y33" s="35"/>
      <c r="Z33" s="8"/>
      <c r="AA33" s="8"/>
    </row>
    <row r="34" spans="1:27" ht="15" thickBot="1" x14ac:dyDescent="0.35">
      <c r="A34" s="106"/>
      <c r="B34" s="107"/>
      <c r="C34" s="107"/>
      <c r="D34" s="178"/>
      <c r="E34" s="179"/>
      <c r="F34" s="180"/>
      <c r="I34" s="8"/>
      <c r="J34" s="1"/>
      <c r="K34" s="1"/>
      <c r="L34" s="1"/>
      <c r="M34" s="1"/>
      <c r="N34" s="1"/>
      <c r="O34" s="1"/>
      <c r="P34" s="1"/>
      <c r="Q34" s="42"/>
      <c r="Y34" s="35"/>
      <c r="Z34" s="8"/>
      <c r="AA34" s="8"/>
    </row>
    <row r="35" spans="1:27" x14ac:dyDescent="0.3">
      <c r="A35" s="104" t="s">
        <v>88</v>
      </c>
      <c r="B35" s="108">
        <f>B36-B29</f>
        <v>121220.109</v>
      </c>
      <c r="C35" s="89" t="s">
        <v>89</v>
      </c>
      <c r="D35" s="86" t="s">
        <v>90</v>
      </c>
      <c r="E35" s="108">
        <f>E20</f>
        <v>126370.8</v>
      </c>
      <c r="F35" s="89" t="s">
        <v>98</v>
      </c>
      <c r="I35" s="8"/>
      <c r="J35" s="1"/>
      <c r="K35" s="1"/>
      <c r="L35" s="1"/>
      <c r="M35" s="1"/>
      <c r="N35" s="1"/>
      <c r="O35" s="1"/>
      <c r="P35" s="1"/>
      <c r="Q35" s="42"/>
      <c r="Y35" s="35"/>
      <c r="Z35" s="8"/>
      <c r="AA35" s="8"/>
    </row>
    <row r="36" spans="1:27" x14ac:dyDescent="0.3">
      <c r="A36" s="92" t="s">
        <v>87</v>
      </c>
      <c r="B36" s="94">
        <f>B22</f>
        <v>121268.109</v>
      </c>
      <c r="C36" s="84" t="s">
        <v>91</v>
      </c>
      <c r="D36" s="87"/>
      <c r="E36" s="94">
        <f>E35+((B9-0.04)*(36)*(B7))</f>
        <v>126424.8</v>
      </c>
      <c r="F36" s="97">
        <v>0.04</v>
      </c>
      <c r="I36" s="8"/>
      <c r="J36" s="1"/>
      <c r="K36" s="1"/>
      <c r="L36" s="1"/>
      <c r="M36" s="1"/>
      <c r="N36" s="1"/>
      <c r="O36" s="1"/>
      <c r="P36" s="1"/>
      <c r="Q36" s="42"/>
      <c r="Y36" s="35"/>
      <c r="Z36" s="8"/>
      <c r="AA36" s="8"/>
    </row>
    <row r="37" spans="1:27" x14ac:dyDescent="0.3">
      <c r="A37" s="92"/>
      <c r="B37" s="94">
        <f>B36+B31</f>
        <v>121316.109</v>
      </c>
      <c r="C37" s="96">
        <v>1.6E-2</v>
      </c>
      <c r="D37" s="87"/>
      <c r="E37" s="94">
        <f>E35+((B9-0.03)*(36)*(B7))</f>
        <v>126514.8</v>
      </c>
      <c r="F37" s="96">
        <v>0.03</v>
      </c>
      <c r="I37" s="8"/>
      <c r="J37" s="1"/>
      <c r="K37" s="1"/>
      <c r="L37" s="1"/>
      <c r="M37" s="1"/>
      <c r="N37" s="1"/>
      <c r="O37" s="1"/>
      <c r="P37" s="1"/>
      <c r="Q37" s="42"/>
      <c r="Y37" s="35"/>
      <c r="Z37" s="8"/>
      <c r="AA37" s="8"/>
    </row>
    <row r="38" spans="1:27" x14ac:dyDescent="0.3">
      <c r="A38" s="92"/>
      <c r="B38" s="94">
        <f>B37+((0.03-B10)*(36)*(B7))</f>
        <v>121442.109</v>
      </c>
      <c r="C38" s="96">
        <v>0.03</v>
      </c>
      <c r="D38" s="87"/>
      <c r="E38" s="94">
        <f>E35+((B9-B10)*(36)*(B7))</f>
        <v>126640.8</v>
      </c>
      <c r="F38" s="96">
        <v>1.6E-2</v>
      </c>
      <c r="I38" s="8"/>
      <c r="J38" s="1"/>
      <c r="K38" s="1"/>
      <c r="L38" s="1"/>
      <c r="M38" s="1"/>
      <c r="N38" s="1"/>
      <c r="O38" s="1"/>
      <c r="P38" s="1"/>
      <c r="Q38" s="42"/>
      <c r="Y38" s="35"/>
      <c r="Z38" s="8"/>
      <c r="AA38" s="8"/>
    </row>
    <row r="39" spans="1:27" x14ac:dyDescent="0.3">
      <c r="A39" s="92"/>
      <c r="B39" s="94">
        <f>B37+((0.04-B10)*(36)*(B7))</f>
        <v>121532.109</v>
      </c>
      <c r="C39" s="96">
        <v>0.04</v>
      </c>
      <c r="D39" s="87"/>
      <c r="E39" s="94">
        <f>E38+((B10)*(12)*(B7))</f>
        <v>126688.8</v>
      </c>
      <c r="F39" s="96" t="s">
        <v>99</v>
      </c>
      <c r="I39" s="8"/>
      <c r="J39" s="1"/>
      <c r="K39" s="1"/>
      <c r="L39" s="1"/>
      <c r="M39" s="1"/>
      <c r="N39" s="1"/>
      <c r="O39" s="1"/>
      <c r="P39" s="1"/>
      <c r="Q39" s="42"/>
      <c r="Y39" s="35"/>
      <c r="Z39" s="8"/>
      <c r="AA39" s="8"/>
    </row>
    <row r="40" spans="1:27" ht="15" thickBot="1" x14ac:dyDescent="0.35">
      <c r="A40" s="93" t="s">
        <v>90</v>
      </c>
      <c r="B40" s="95">
        <f>B36+B33</f>
        <v>121586.109</v>
      </c>
      <c r="C40" s="105">
        <v>4.5999999999999999E-2</v>
      </c>
      <c r="D40" s="88"/>
      <c r="E40" s="95">
        <f>E38+((B10+B10)*(12)*(B7))</f>
        <v>126736.8</v>
      </c>
      <c r="F40" s="85" t="s">
        <v>84</v>
      </c>
      <c r="I40" s="8"/>
      <c r="J40" s="1"/>
      <c r="K40" s="1"/>
      <c r="L40" s="1"/>
      <c r="M40" s="1"/>
      <c r="N40" s="1"/>
      <c r="O40" s="1"/>
      <c r="P40" s="1"/>
      <c r="Q40" s="42"/>
      <c r="Y40" s="35"/>
      <c r="Z40" s="8"/>
      <c r="AA40" s="8"/>
    </row>
    <row r="41" spans="1:27" x14ac:dyDescent="0.3">
      <c r="I41" s="8"/>
      <c r="J41" s="1"/>
      <c r="K41" s="1"/>
      <c r="L41" s="1"/>
      <c r="M41" s="1"/>
      <c r="N41" s="1"/>
      <c r="O41" s="1"/>
      <c r="P41" s="1"/>
      <c r="Q41" s="42"/>
      <c r="Y41" s="35"/>
      <c r="Z41" s="8"/>
      <c r="AA41" s="8"/>
    </row>
    <row r="42" spans="1:27" x14ac:dyDescent="0.3">
      <c r="I42" s="8"/>
      <c r="J42" s="1"/>
      <c r="K42" s="1"/>
      <c r="L42" s="1"/>
      <c r="M42" s="1"/>
      <c r="N42" s="1"/>
      <c r="O42" s="1"/>
      <c r="P42" s="1"/>
      <c r="Q42" s="42"/>
      <c r="Y42" s="35"/>
      <c r="Z42" s="8"/>
      <c r="AA42" s="8"/>
    </row>
    <row r="43" spans="1:27" x14ac:dyDescent="0.3">
      <c r="I43" s="8"/>
      <c r="J43" s="1"/>
      <c r="K43" s="1"/>
      <c r="L43" s="1"/>
      <c r="M43" s="1"/>
      <c r="N43" s="1"/>
      <c r="O43" s="1"/>
      <c r="P43" s="1"/>
      <c r="Q43" s="42"/>
      <c r="Y43" s="35"/>
      <c r="Z43" s="8"/>
      <c r="AA43" s="8"/>
    </row>
    <row r="44" spans="1:27" x14ac:dyDescent="0.3">
      <c r="I44" s="8"/>
      <c r="J44" s="1"/>
      <c r="K44" s="1"/>
      <c r="L44" s="1"/>
      <c r="M44" s="1"/>
      <c r="N44" s="1"/>
      <c r="O44" s="1"/>
      <c r="P44" s="1"/>
      <c r="Q44" s="42"/>
      <c r="Y44" s="35"/>
      <c r="Z44" s="8"/>
      <c r="AA44" s="8"/>
    </row>
    <row r="45" spans="1:27" x14ac:dyDescent="0.3">
      <c r="I45" s="8"/>
      <c r="J45" s="1"/>
      <c r="K45" s="1"/>
      <c r="L45" s="1"/>
      <c r="M45" s="1"/>
      <c r="N45" s="1"/>
      <c r="O45" s="1"/>
      <c r="P45" s="1"/>
      <c r="Q45" s="42"/>
      <c r="Y45" s="35"/>
      <c r="Z45" s="8"/>
      <c r="AA45" s="8"/>
    </row>
    <row r="46" spans="1:27" x14ac:dyDescent="0.3">
      <c r="I46" s="8"/>
      <c r="J46" s="1"/>
      <c r="K46" s="1"/>
      <c r="L46" s="1"/>
      <c r="M46" s="1"/>
      <c r="N46" s="1"/>
      <c r="O46" s="1"/>
      <c r="P46" s="1"/>
      <c r="Q46" s="42"/>
      <c r="Y46" s="35"/>
      <c r="Z46" s="8"/>
      <c r="AA46" s="8"/>
    </row>
    <row r="47" spans="1:27" x14ac:dyDescent="0.3">
      <c r="I47" s="8"/>
      <c r="J47" s="1"/>
      <c r="K47" s="1"/>
      <c r="L47" s="1"/>
      <c r="M47" s="1"/>
      <c r="N47" s="1"/>
      <c r="O47" s="1"/>
      <c r="P47" s="1"/>
      <c r="Q47" s="42"/>
      <c r="Y47" s="35"/>
      <c r="Z47" s="8"/>
      <c r="AA47" s="8"/>
    </row>
    <row r="48" spans="1:27" ht="15" thickBot="1" x14ac:dyDescent="0.35">
      <c r="I48" s="8"/>
      <c r="J48" s="1"/>
      <c r="K48" s="1"/>
      <c r="L48" s="1"/>
      <c r="M48" s="1"/>
      <c r="N48" s="1"/>
      <c r="O48" s="1"/>
      <c r="P48" s="1"/>
      <c r="Q48" s="42"/>
      <c r="Y48" s="35"/>
      <c r="Z48" s="8"/>
      <c r="AA48" s="8"/>
    </row>
    <row r="49" spans="1:27" x14ac:dyDescent="0.3">
      <c r="I49" s="63"/>
      <c r="J49" s="64"/>
      <c r="K49" s="64"/>
      <c r="L49" s="64"/>
      <c r="M49" s="64"/>
      <c r="N49" s="64"/>
      <c r="O49" s="64"/>
      <c r="P49" s="64"/>
      <c r="Q49" s="65"/>
      <c r="R49" s="65"/>
      <c r="S49" s="65"/>
      <c r="T49" s="65"/>
      <c r="U49" s="64"/>
      <c r="V49" s="64"/>
      <c r="W49" s="64"/>
      <c r="X49" s="64"/>
      <c r="Y49" s="66"/>
      <c r="Z49" s="8"/>
      <c r="AA49" s="8"/>
    </row>
    <row r="50" spans="1:27" x14ac:dyDescent="0.3">
      <c r="A50" s="35"/>
      <c r="I50" s="67"/>
      <c r="J50" s="165" t="s">
        <v>72</v>
      </c>
      <c r="K50" s="165"/>
      <c r="L50" s="165"/>
      <c r="M50" s="165"/>
      <c r="N50" s="165"/>
      <c r="O50" s="165"/>
      <c r="P50" s="165"/>
      <c r="Q50" s="49"/>
      <c r="R50" s="164" t="s">
        <v>71</v>
      </c>
      <c r="S50" s="164"/>
      <c r="T50" s="164"/>
      <c r="U50" s="164"/>
      <c r="V50" s="164"/>
      <c r="W50" s="164"/>
      <c r="X50" s="164"/>
      <c r="Y50" s="68"/>
      <c r="Z50" s="8"/>
      <c r="AA50" s="8"/>
    </row>
    <row r="51" spans="1:27" x14ac:dyDescent="0.3">
      <c r="I51" s="67"/>
      <c r="J51" s="48"/>
      <c r="K51" s="48"/>
      <c r="L51" s="48"/>
      <c r="M51" s="48"/>
      <c r="N51" s="48"/>
      <c r="O51" s="48"/>
      <c r="P51" s="48"/>
      <c r="Q51" s="49"/>
      <c r="R51" s="49"/>
      <c r="S51" s="49"/>
      <c r="T51" s="49"/>
      <c r="U51" s="48"/>
      <c r="V51" s="48"/>
      <c r="W51" s="48"/>
      <c r="X51" s="48"/>
      <c r="Y51" s="68"/>
      <c r="Z51" s="8"/>
      <c r="AA51" s="8"/>
    </row>
    <row r="52" spans="1:27" x14ac:dyDescent="0.3">
      <c r="I52" s="67"/>
      <c r="J52" s="48" t="s">
        <v>64</v>
      </c>
      <c r="K52" s="48" t="s">
        <v>69</v>
      </c>
      <c r="L52" s="48" t="s">
        <v>68</v>
      </c>
      <c r="M52" s="48" t="s">
        <v>66</v>
      </c>
      <c r="N52" s="50" t="s">
        <v>70</v>
      </c>
      <c r="O52" s="48" t="s">
        <v>65</v>
      </c>
      <c r="P52" s="49" t="s">
        <v>67</v>
      </c>
      <c r="Q52" s="50" t="s">
        <v>59</v>
      </c>
      <c r="R52" s="49" t="s">
        <v>67</v>
      </c>
      <c r="S52" s="48" t="s">
        <v>65</v>
      </c>
      <c r="T52" s="50" t="s">
        <v>70</v>
      </c>
      <c r="U52" s="48" t="s">
        <v>66</v>
      </c>
      <c r="V52" s="48" t="s">
        <v>68</v>
      </c>
      <c r="W52" s="48" t="s">
        <v>69</v>
      </c>
      <c r="X52" s="48" t="s">
        <v>64</v>
      </c>
      <c r="Y52" s="68"/>
      <c r="Z52" s="8"/>
      <c r="AA52" s="8"/>
    </row>
    <row r="53" spans="1:27" x14ac:dyDescent="0.3">
      <c r="I53" s="67"/>
      <c r="J53" s="48">
        <v>-0.04</v>
      </c>
      <c r="K53" s="48">
        <v>-1.6E-2</v>
      </c>
      <c r="L53" s="48">
        <v>-1.6E-2</v>
      </c>
      <c r="M53" s="48">
        <v>1.6E-2</v>
      </c>
      <c r="N53" s="51"/>
      <c r="O53" s="48">
        <v>-1.6E-2</v>
      </c>
      <c r="P53" s="52">
        <v>-0.04</v>
      </c>
      <c r="Q53" s="53">
        <f>(Q58)-B12</f>
        <v>121124.109</v>
      </c>
      <c r="R53" s="52">
        <v>-0.04</v>
      </c>
      <c r="S53" s="48">
        <v>-1.6E-2</v>
      </c>
      <c r="T53" s="51"/>
      <c r="U53" s="48">
        <v>1.6E-2</v>
      </c>
      <c r="V53" s="48">
        <v>-1.6E-2</v>
      </c>
      <c r="W53" s="48">
        <v>-1.6E-2</v>
      </c>
      <c r="X53" s="54">
        <v>-0.04</v>
      </c>
      <c r="Y53" s="69" t="s">
        <v>63</v>
      </c>
      <c r="Z53" s="8"/>
      <c r="AA53" s="8"/>
    </row>
    <row r="54" spans="1:27" x14ac:dyDescent="0.3">
      <c r="I54" s="67"/>
      <c r="J54" s="48">
        <v>-0.04</v>
      </c>
      <c r="K54" s="48">
        <v>-1.6E-2</v>
      </c>
      <c r="L54" s="48">
        <v>-1.6E-2</v>
      </c>
      <c r="M54" s="48">
        <v>1.6E-2</v>
      </c>
      <c r="N54" s="51"/>
      <c r="O54" s="48">
        <v>-1.6E-2</v>
      </c>
      <c r="P54" s="52">
        <v>-0.04</v>
      </c>
      <c r="Q54" s="55">
        <v>121125</v>
      </c>
      <c r="R54" s="52">
        <v>-0.04</v>
      </c>
      <c r="S54" s="48">
        <v>-1.6E-2</v>
      </c>
      <c r="T54" s="51"/>
      <c r="U54" s="48">
        <v>1.6E-2</v>
      </c>
      <c r="V54" s="56">
        <f t="shared" ref="V54:V64" si="0">((Q54-$Q$53)/(($B$7)*(24)))+$V$53</f>
        <v>-1.5851499999999456E-2</v>
      </c>
      <c r="W54" s="56">
        <f t="shared" ref="W54:W64" si="1">((Q54-$Q$53)/(($B$7)*(24)))+($W$53)</f>
        <v>-1.5851499999999456E-2</v>
      </c>
      <c r="X54" s="54">
        <v>-0.04</v>
      </c>
      <c r="Y54" s="69"/>
      <c r="Z54" s="8"/>
      <c r="AA54" s="8"/>
    </row>
    <row r="55" spans="1:27" x14ac:dyDescent="0.3">
      <c r="I55" s="67"/>
      <c r="J55" s="48">
        <v>-0.04</v>
      </c>
      <c r="K55" s="48">
        <v>-1.6E-2</v>
      </c>
      <c r="L55" s="48">
        <v>-1.6E-2</v>
      </c>
      <c r="M55" s="48">
        <v>1.6E-2</v>
      </c>
      <c r="N55" s="51"/>
      <c r="O55" s="48">
        <v>-1.6E-2</v>
      </c>
      <c r="P55" s="52">
        <v>-0.04</v>
      </c>
      <c r="Q55" s="55">
        <v>121150</v>
      </c>
      <c r="R55" s="52">
        <v>-0.04</v>
      </c>
      <c r="S55" s="48">
        <v>-1.6E-2</v>
      </c>
      <c r="T55" s="51"/>
      <c r="U55" s="48">
        <v>1.6E-2</v>
      </c>
      <c r="V55" s="56">
        <f t="shared" si="0"/>
        <v>-1.1684833333332791E-2</v>
      </c>
      <c r="W55" s="56">
        <f t="shared" si="1"/>
        <v>-1.1684833333332791E-2</v>
      </c>
      <c r="X55" s="54">
        <v>-0.04</v>
      </c>
      <c r="Y55" s="69"/>
      <c r="Z55" s="8"/>
      <c r="AA55" s="8"/>
    </row>
    <row r="56" spans="1:27" x14ac:dyDescent="0.3">
      <c r="I56" s="67"/>
      <c r="J56" s="48">
        <v>-0.04</v>
      </c>
      <c r="K56" s="48">
        <v>-1.6E-2</v>
      </c>
      <c r="L56" s="48">
        <v>-1.6E-2</v>
      </c>
      <c r="M56" s="48">
        <v>1.6E-2</v>
      </c>
      <c r="N56" s="51"/>
      <c r="O56" s="48">
        <v>-1.6E-2</v>
      </c>
      <c r="P56" s="52">
        <v>-0.04</v>
      </c>
      <c r="Q56" s="55">
        <v>121175</v>
      </c>
      <c r="R56" s="52">
        <v>-0.04</v>
      </c>
      <c r="S56" s="48">
        <v>-1.6E-2</v>
      </c>
      <c r="T56" s="51"/>
      <c r="U56" s="48">
        <v>1.6E-2</v>
      </c>
      <c r="V56" s="56">
        <f t="shared" si="0"/>
        <v>-7.5181666666661231E-3</v>
      </c>
      <c r="W56" s="56">
        <f t="shared" si="1"/>
        <v>-7.5181666666661231E-3</v>
      </c>
      <c r="X56" s="54">
        <v>-0.04</v>
      </c>
      <c r="Y56" s="69"/>
      <c r="Z56" s="8"/>
      <c r="AA56" s="8"/>
    </row>
    <row r="57" spans="1:27" x14ac:dyDescent="0.3">
      <c r="I57" s="67"/>
      <c r="J57" s="48">
        <v>-0.04</v>
      </c>
      <c r="K57" s="48">
        <v>-1.6E-2</v>
      </c>
      <c r="L57" s="48">
        <v>-1.6E-2</v>
      </c>
      <c r="M57" s="48">
        <v>1.6E-2</v>
      </c>
      <c r="N57" s="51"/>
      <c r="O57" s="48">
        <v>-1.6E-2</v>
      </c>
      <c r="P57" s="52">
        <v>-0.04</v>
      </c>
      <c r="Q57" s="55">
        <v>121200</v>
      </c>
      <c r="R57" s="52">
        <v>-0.04</v>
      </c>
      <c r="S57" s="48">
        <v>-1.6E-2</v>
      </c>
      <c r="T57" s="51"/>
      <c r="U57" s="48">
        <v>1.6E-2</v>
      </c>
      <c r="V57" s="56">
        <f t="shared" si="0"/>
        <v>-3.3514999999994573E-3</v>
      </c>
      <c r="W57" s="56">
        <f t="shared" si="1"/>
        <v>-3.3514999999994573E-3</v>
      </c>
      <c r="X57" s="54">
        <v>-0.04</v>
      </c>
      <c r="Y57" s="69"/>
      <c r="Z57" s="8"/>
      <c r="AA57" s="8"/>
    </row>
    <row r="58" spans="1:27" x14ac:dyDescent="0.3">
      <c r="I58" s="70" t="s">
        <v>78</v>
      </c>
      <c r="J58" s="48">
        <v>-0.04</v>
      </c>
      <c r="K58" s="48">
        <v>-1.6E-2</v>
      </c>
      <c r="L58" s="48">
        <v>-1.6E-2</v>
      </c>
      <c r="M58" s="112">
        <v>1.6E-2</v>
      </c>
      <c r="N58" s="51"/>
      <c r="O58" s="112">
        <v>-1.6E-2</v>
      </c>
      <c r="P58" s="52">
        <v>-0.04</v>
      </c>
      <c r="Q58" s="53">
        <f>(Q72)-B17</f>
        <v>121220.109</v>
      </c>
      <c r="R58" s="52">
        <v>-0.04</v>
      </c>
      <c r="S58" s="48">
        <v>-1.6E-2</v>
      </c>
      <c r="T58" s="51"/>
      <c r="U58" s="48">
        <v>1.6E-2</v>
      </c>
      <c r="V58" s="56">
        <f t="shared" si="0"/>
        <v>0</v>
      </c>
      <c r="W58" s="56">
        <f t="shared" si="1"/>
        <v>0</v>
      </c>
      <c r="X58" s="54">
        <v>-0.04</v>
      </c>
      <c r="Y58" s="69" t="s">
        <v>77</v>
      </c>
      <c r="Z58" s="8"/>
      <c r="AA58" s="8"/>
    </row>
    <row r="59" spans="1:27" x14ac:dyDescent="0.3">
      <c r="I59" s="67"/>
      <c r="J59" s="48">
        <v>-0.04</v>
      </c>
      <c r="K59" s="48">
        <v>-1.6E-2</v>
      </c>
      <c r="L59" s="48">
        <v>-1.6E-2</v>
      </c>
      <c r="M59" s="113">
        <f t="shared" ref="M59:M64" si="2">((($M$58))-((Q59-$Q$58)/(($B$7)*(12))))</f>
        <v>1.436966666666558E-2</v>
      </c>
      <c r="N59" s="51"/>
      <c r="O59" s="113">
        <f>-M59</f>
        <v>-1.436966666666558E-2</v>
      </c>
      <c r="P59" s="52">
        <v>-0.04</v>
      </c>
      <c r="Q59" s="55">
        <v>121225</v>
      </c>
      <c r="R59" s="52">
        <v>-0.04</v>
      </c>
      <c r="S59" s="48">
        <v>-1.6E-2</v>
      </c>
      <c r="T59" s="51"/>
      <c r="U59" s="48">
        <v>1.6E-2</v>
      </c>
      <c r="V59" s="56">
        <f t="shared" si="0"/>
        <v>8.1516666666721013E-4</v>
      </c>
      <c r="W59" s="56">
        <f t="shared" si="1"/>
        <v>8.1516666666721013E-4</v>
      </c>
      <c r="X59" s="54">
        <v>-0.04</v>
      </c>
      <c r="Y59" s="69"/>
      <c r="Z59" s="8"/>
      <c r="AA59" s="8"/>
    </row>
    <row r="60" spans="1:27" x14ac:dyDescent="0.3">
      <c r="I60" s="67"/>
      <c r="J60" s="48">
        <v>-0.04</v>
      </c>
      <c r="K60" s="48">
        <v>-1.6E-2</v>
      </c>
      <c r="L60" s="48">
        <v>-1.6E-2</v>
      </c>
      <c r="M60" s="113">
        <f t="shared" si="2"/>
        <v>6.0363333333322469E-3</v>
      </c>
      <c r="N60" s="51"/>
      <c r="O60" s="113">
        <f t="shared" ref="O60:O65" si="3">-M60</f>
        <v>-6.0363333333322469E-3</v>
      </c>
      <c r="P60" s="52">
        <v>-0.04</v>
      </c>
      <c r="Q60" s="55">
        <v>121250</v>
      </c>
      <c r="R60" s="52">
        <v>-0.04</v>
      </c>
      <c r="S60" s="48">
        <v>-1.6E-2</v>
      </c>
      <c r="T60" s="51"/>
      <c r="U60" s="48">
        <v>1.6E-2</v>
      </c>
      <c r="V60" s="56">
        <f t="shared" si="0"/>
        <v>4.9818333333338759E-3</v>
      </c>
      <c r="W60" s="56">
        <f t="shared" si="1"/>
        <v>4.9818333333338759E-3</v>
      </c>
      <c r="X60" s="54">
        <v>-0.04</v>
      </c>
      <c r="Y60" s="69"/>
      <c r="Z60" s="8"/>
      <c r="AA60" s="8"/>
    </row>
    <row r="61" spans="1:27" x14ac:dyDescent="0.3">
      <c r="I61" s="70" t="s">
        <v>77</v>
      </c>
      <c r="J61" s="48">
        <v>-0.04</v>
      </c>
      <c r="K61" s="48">
        <v>-1.6E-2</v>
      </c>
      <c r="L61" s="48">
        <v>-1.6E-2</v>
      </c>
      <c r="M61" s="113">
        <f t="shared" si="2"/>
        <v>0</v>
      </c>
      <c r="N61" s="51"/>
      <c r="O61" s="113">
        <f t="shared" si="3"/>
        <v>0</v>
      </c>
      <c r="P61" s="52">
        <v>-0.04</v>
      </c>
      <c r="Q61" s="53">
        <f>Q58+(B12/2)</f>
        <v>121268.109</v>
      </c>
      <c r="R61" s="52">
        <v>-0.04</v>
      </c>
      <c r="S61" s="48">
        <v>-1.6E-2</v>
      </c>
      <c r="T61" s="51"/>
      <c r="U61" s="48">
        <v>1.6E-2</v>
      </c>
      <c r="V61" s="56">
        <f t="shared" si="0"/>
        <v>8.0000000000000002E-3</v>
      </c>
      <c r="W61" s="56">
        <f t="shared" si="1"/>
        <v>8.0000000000000002E-3</v>
      </c>
      <c r="X61" s="54">
        <v>-0.04</v>
      </c>
      <c r="Y61" s="69"/>
      <c r="Z61" s="8"/>
      <c r="AA61" s="8"/>
    </row>
    <row r="62" spans="1:27" x14ac:dyDescent="0.3">
      <c r="I62" s="67"/>
      <c r="J62" s="48">
        <v>-0.04</v>
      </c>
      <c r="K62" s="48">
        <v>-1.6E-2</v>
      </c>
      <c r="L62" s="48">
        <v>-1.6E-2</v>
      </c>
      <c r="M62" s="113">
        <f t="shared" si="2"/>
        <v>-2.2970000000010864E-3</v>
      </c>
      <c r="N62" s="51"/>
      <c r="O62" s="113">
        <f t="shared" si="3"/>
        <v>2.2970000000010864E-3</v>
      </c>
      <c r="P62" s="52">
        <v>-0.04</v>
      </c>
      <c r="Q62" s="55">
        <v>121275</v>
      </c>
      <c r="R62" s="52">
        <v>-0.04</v>
      </c>
      <c r="S62" s="48">
        <v>-1.6E-2</v>
      </c>
      <c r="T62" s="51"/>
      <c r="U62" s="48">
        <v>1.6E-2</v>
      </c>
      <c r="V62" s="56">
        <f t="shared" si="0"/>
        <v>9.1485000000005416E-3</v>
      </c>
      <c r="W62" s="56">
        <f t="shared" si="1"/>
        <v>9.1485000000005416E-3</v>
      </c>
      <c r="X62" s="54">
        <v>-0.04</v>
      </c>
      <c r="Y62" s="69"/>
      <c r="Z62" s="8"/>
      <c r="AA62" s="8"/>
    </row>
    <row r="63" spans="1:27" x14ac:dyDescent="0.3">
      <c r="I63" s="67"/>
      <c r="J63" s="48">
        <v>-0.04</v>
      </c>
      <c r="K63" s="48">
        <v>-1.6E-2</v>
      </c>
      <c r="L63" s="48">
        <v>-1.6E-2</v>
      </c>
      <c r="M63" s="113">
        <f t="shared" si="2"/>
        <v>-1.0630333333334418E-2</v>
      </c>
      <c r="N63" s="51"/>
      <c r="O63" s="113">
        <f t="shared" si="3"/>
        <v>1.0630333333334418E-2</v>
      </c>
      <c r="P63" s="52">
        <v>-0.04</v>
      </c>
      <c r="Q63" s="55">
        <v>121300</v>
      </c>
      <c r="R63" s="52">
        <v>-0.04</v>
      </c>
      <c r="S63" s="48">
        <v>-1.6E-2</v>
      </c>
      <c r="T63" s="51"/>
      <c r="U63" s="48">
        <v>1.6E-2</v>
      </c>
      <c r="V63" s="56">
        <f t="shared" si="0"/>
        <v>1.3315166666667211E-2</v>
      </c>
      <c r="W63" s="56">
        <f t="shared" si="1"/>
        <v>1.3315166666667211E-2</v>
      </c>
      <c r="X63" s="54">
        <v>-0.04</v>
      </c>
      <c r="Y63" s="69"/>
      <c r="Z63" s="8"/>
      <c r="AA63" s="8"/>
    </row>
    <row r="64" spans="1:27" x14ac:dyDescent="0.3">
      <c r="I64" s="67"/>
      <c r="J64" s="48">
        <v>-0.04</v>
      </c>
      <c r="K64" s="48">
        <v>-1.6E-2</v>
      </c>
      <c r="L64" s="48">
        <v>-1.6E-2</v>
      </c>
      <c r="M64" s="113">
        <f t="shared" si="2"/>
        <v>-1.6E-2</v>
      </c>
      <c r="N64" s="51"/>
      <c r="O64" s="113">
        <f t="shared" si="3"/>
        <v>1.6E-2</v>
      </c>
      <c r="P64" s="52">
        <v>-0.04</v>
      </c>
      <c r="Q64" s="53">
        <f>Q61+(B12/2)</f>
        <v>121316.109</v>
      </c>
      <c r="R64" s="52">
        <v>-0.04</v>
      </c>
      <c r="S64" s="48">
        <v>-1.6E-2</v>
      </c>
      <c r="T64" s="51"/>
      <c r="U64" s="48">
        <v>1.6E-2</v>
      </c>
      <c r="V64" s="56">
        <f t="shared" si="0"/>
        <v>1.6E-2</v>
      </c>
      <c r="W64" s="56">
        <f t="shared" si="1"/>
        <v>1.6E-2</v>
      </c>
      <c r="X64" s="54">
        <v>-0.04</v>
      </c>
      <c r="Y64" s="69"/>
      <c r="Z64" s="8"/>
      <c r="AA64" s="8"/>
    </row>
    <row r="65" spans="9:27" x14ac:dyDescent="0.3">
      <c r="I65" s="67"/>
      <c r="J65" s="48">
        <v>-0.04</v>
      </c>
      <c r="K65" s="113">
        <f t="shared" ref="K65:K79" si="4">$K$64-((Q65-$Q$64)/(($B$7)*(36)))</f>
        <v>-1.698788888888925E-2</v>
      </c>
      <c r="L65" s="56">
        <f t="shared" ref="L65:L79" si="5">$L$64-((Q65-$Q$64)/(($B$7)*(36)))</f>
        <v>-1.698788888888925E-2</v>
      </c>
      <c r="M65" s="113">
        <f t="shared" ref="M65:M79" si="6">$M$64-((Q65-$Q$64)/(($B$7)*(36)))</f>
        <v>-1.698788888888925E-2</v>
      </c>
      <c r="N65" s="51"/>
      <c r="O65" s="113">
        <f t="shared" si="3"/>
        <v>1.698788888888925E-2</v>
      </c>
      <c r="P65" s="52">
        <v>-0.04</v>
      </c>
      <c r="Q65" s="55">
        <v>121325</v>
      </c>
      <c r="R65" s="52">
        <v>-0.04</v>
      </c>
      <c r="S65" s="56">
        <f>-U65</f>
        <v>-1.698788888888925E-2</v>
      </c>
      <c r="T65" s="51"/>
      <c r="U65" s="56">
        <f t="shared" ref="U65:U79" si="7">$U$64+((Q65-$Q$64)/(($B$7)*(36)))</f>
        <v>1.698788888888925E-2</v>
      </c>
      <c r="V65" s="56">
        <f t="shared" ref="V65:V79" si="8">$V$64+((Q65-$Q$64)/(($B$7)*(36)))</f>
        <v>1.698788888888925E-2</v>
      </c>
      <c r="W65" s="56">
        <f t="shared" ref="W65:W79" si="9">$W$64+((Q65-$Q$64)/(($B$7)*(36)))</f>
        <v>1.698788888888925E-2</v>
      </c>
      <c r="X65" s="54">
        <v>-0.04</v>
      </c>
      <c r="Y65" s="69"/>
      <c r="Z65" s="8"/>
      <c r="AA65" s="8"/>
    </row>
    <row r="66" spans="9:27" x14ac:dyDescent="0.3">
      <c r="I66" s="67"/>
      <c r="J66" s="48">
        <v>-0.04</v>
      </c>
      <c r="K66" s="113">
        <f t="shared" si="4"/>
        <v>-1.9765666666667028E-2</v>
      </c>
      <c r="L66" s="56">
        <f t="shared" si="5"/>
        <v>-1.9765666666667028E-2</v>
      </c>
      <c r="M66" s="113">
        <f t="shared" si="6"/>
        <v>-1.9765666666667028E-2</v>
      </c>
      <c r="N66" s="51"/>
      <c r="O66" s="113">
        <f t="shared" ref="O66:O79" si="10">-M66</f>
        <v>1.9765666666667028E-2</v>
      </c>
      <c r="P66" s="52">
        <v>-0.04</v>
      </c>
      <c r="Q66" s="55">
        <v>121350</v>
      </c>
      <c r="R66" s="52">
        <v>-0.04</v>
      </c>
      <c r="S66" s="56">
        <f t="shared" ref="S66:S79" si="11">-U66</f>
        <v>-1.9765666666667028E-2</v>
      </c>
      <c r="T66" s="51"/>
      <c r="U66" s="56">
        <f t="shared" si="7"/>
        <v>1.9765666666667028E-2</v>
      </c>
      <c r="V66" s="56">
        <f t="shared" si="8"/>
        <v>1.9765666666667028E-2</v>
      </c>
      <c r="W66" s="56">
        <f t="shared" si="9"/>
        <v>1.9765666666667028E-2</v>
      </c>
      <c r="X66" s="54">
        <v>-0.04</v>
      </c>
      <c r="Y66" s="69"/>
      <c r="Z66" s="8"/>
      <c r="AA66" s="8"/>
    </row>
    <row r="67" spans="9:27" x14ac:dyDescent="0.3">
      <c r="I67" s="67"/>
      <c r="J67" s="48">
        <v>-0.04</v>
      </c>
      <c r="K67" s="113">
        <f t="shared" si="4"/>
        <v>-2.2543444444444807E-2</v>
      </c>
      <c r="L67" s="56">
        <f t="shared" si="5"/>
        <v>-2.2543444444444807E-2</v>
      </c>
      <c r="M67" s="113">
        <f t="shared" si="6"/>
        <v>-2.2543444444444807E-2</v>
      </c>
      <c r="N67" s="51"/>
      <c r="O67" s="113">
        <f t="shared" si="10"/>
        <v>2.2543444444444807E-2</v>
      </c>
      <c r="P67" s="52">
        <v>-0.04</v>
      </c>
      <c r="Q67" s="55">
        <v>121375</v>
      </c>
      <c r="R67" s="52">
        <v>-0.04</v>
      </c>
      <c r="S67" s="56">
        <f t="shared" si="11"/>
        <v>-2.2543444444444807E-2</v>
      </c>
      <c r="T67" s="51"/>
      <c r="U67" s="56">
        <f t="shared" si="7"/>
        <v>2.2543444444444807E-2</v>
      </c>
      <c r="V67" s="56">
        <f t="shared" si="8"/>
        <v>2.2543444444444807E-2</v>
      </c>
      <c r="W67" s="56">
        <f t="shared" si="9"/>
        <v>2.2543444444444807E-2</v>
      </c>
      <c r="X67" s="54">
        <v>-0.04</v>
      </c>
      <c r="Y67" s="69"/>
      <c r="Z67" s="8"/>
      <c r="AA67" s="8"/>
    </row>
    <row r="68" spans="9:27" x14ac:dyDescent="0.3">
      <c r="I68" s="67"/>
      <c r="J68" s="48">
        <v>-0.04</v>
      </c>
      <c r="K68" s="113">
        <f t="shared" si="4"/>
        <v>-2.5321222222222585E-2</v>
      </c>
      <c r="L68" s="56">
        <f t="shared" si="5"/>
        <v>-2.5321222222222585E-2</v>
      </c>
      <c r="M68" s="113">
        <f t="shared" si="6"/>
        <v>-2.5321222222222585E-2</v>
      </c>
      <c r="N68" s="51"/>
      <c r="O68" s="113">
        <f t="shared" si="10"/>
        <v>2.5321222222222585E-2</v>
      </c>
      <c r="P68" s="52">
        <v>-0.04</v>
      </c>
      <c r="Q68" s="55">
        <v>121400</v>
      </c>
      <c r="R68" s="52">
        <v>-0.04</v>
      </c>
      <c r="S68" s="56">
        <f t="shared" si="11"/>
        <v>-2.5321222222222585E-2</v>
      </c>
      <c r="T68" s="51"/>
      <c r="U68" s="56">
        <f t="shared" si="7"/>
        <v>2.5321222222222585E-2</v>
      </c>
      <c r="V68" s="56">
        <f t="shared" si="8"/>
        <v>2.5321222222222585E-2</v>
      </c>
      <c r="W68" s="56">
        <f t="shared" si="9"/>
        <v>2.5321222222222585E-2</v>
      </c>
      <c r="X68" s="54">
        <v>-0.04</v>
      </c>
      <c r="Y68" s="69"/>
      <c r="Z68" s="8"/>
      <c r="AA68" s="8"/>
    </row>
    <row r="69" spans="9:27" x14ac:dyDescent="0.3">
      <c r="I69" s="67"/>
      <c r="J69" s="48">
        <v>-0.04</v>
      </c>
      <c r="K69" s="113">
        <f t="shared" si="4"/>
        <v>-2.8099000000000363E-2</v>
      </c>
      <c r="L69" s="56">
        <f t="shared" si="5"/>
        <v>-2.8099000000000363E-2</v>
      </c>
      <c r="M69" s="113">
        <f t="shared" si="6"/>
        <v>-2.8099000000000363E-2</v>
      </c>
      <c r="N69" s="51"/>
      <c r="O69" s="113">
        <f t="shared" si="10"/>
        <v>2.8099000000000363E-2</v>
      </c>
      <c r="P69" s="52">
        <v>-0.04</v>
      </c>
      <c r="Q69" s="55">
        <v>121425</v>
      </c>
      <c r="R69" s="52">
        <v>-0.04</v>
      </c>
      <c r="S69" s="56">
        <f t="shared" si="11"/>
        <v>-2.8099000000000363E-2</v>
      </c>
      <c r="T69" s="51"/>
      <c r="U69" s="56">
        <f t="shared" si="7"/>
        <v>2.8099000000000363E-2</v>
      </c>
      <c r="V69" s="56">
        <f t="shared" si="8"/>
        <v>2.8099000000000363E-2</v>
      </c>
      <c r="W69" s="56">
        <f t="shared" si="9"/>
        <v>2.8099000000000363E-2</v>
      </c>
      <c r="X69" s="54">
        <v>-0.04</v>
      </c>
      <c r="Y69" s="69"/>
      <c r="Z69" s="8"/>
      <c r="AA69" s="8"/>
    </row>
    <row r="70" spans="9:27" x14ac:dyDescent="0.3">
      <c r="I70" s="70" t="s">
        <v>75</v>
      </c>
      <c r="J70" s="48">
        <v>-0.04</v>
      </c>
      <c r="K70" s="113">
        <f t="shared" si="4"/>
        <v>-0.03</v>
      </c>
      <c r="L70" s="56">
        <f t="shared" si="5"/>
        <v>-0.03</v>
      </c>
      <c r="M70" s="113">
        <f t="shared" si="6"/>
        <v>-0.03</v>
      </c>
      <c r="N70" s="51"/>
      <c r="O70" s="113">
        <f t="shared" si="10"/>
        <v>0.03</v>
      </c>
      <c r="P70" s="52">
        <v>-0.04</v>
      </c>
      <c r="Q70" s="53">
        <f>Q64+126</f>
        <v>121442.109</v>
      </c>
      <c r="R70" s="52">
        <v>-0.04</v>
      </c>
      <c r="S70" s="56">
        <f t="shared" si="11"/>
        <v>-0.03</v>
      </c>
      <c r="T70" s="51"/>
      <c r="U70" s="56">
        <f t="shared" si="7"/>
        <v>0.03</v>
      </c>
      <c r="V70" s="56">
        <f t="shared" si="8"/>
        <v>0.03</v>
      </c>
      <c r="W70" s="56">
        <f t="shared" si="9"/>
        <v>0.03</v>
      </c>
      <c r="X70" s="54">
        <v>-0.04</v>
      </c>
      <c r="Y70" s="69" t="s">
        <v>73</v>
      </c>
      <c r="Z70" s="8"/>
      <c r="AA70" s="8"/>
    </row>
    <row r="71" spans="9:27" x14ac:dyDescent="0.3">
      <c r="I71" s="67"/>
      <c r="J71" s="48">
        <v>-0.04</v>
      </c>
      <c r="K71" s="113">
        <f t="shared" si="4"/>
        <v>-3.0876777777778142E-2</v>
      </c>
      <c r="L71" s="56">
        <f t="shared" si="5"/>
        <v>-3.0876777777778142E-2</v>
      </c>
      <c r="M71" s="113">
        <f t="shared" si="6"/>
        <v>-3.0876777777778142E-2</v>
      </c>
      <c r="N71" s="51" t="s">
        <v>143</v>
      </c>
      <c r="O71" s="113">
        <f t="shared" si="10"/>
        <v>3.0876777777778142E-2</v>
      </c>
      <c r="P71" s="56">
        <v>-0.04</v>
      </c>
      <c r="Q71" s="55">
        <v>121450</v>
      </c>
      <c r="R71" s="52">
        <v>-0.04</v>
      </c>
      <c r="S71" s="56">
        <f t="shared" si="11"/>
        <v>-3.0876777777778142E-2</v>
      </c>
      <c r="T71" s="51"/>
      <c r="U71" s="56">
        <f t="shared" si="7"/>
        <v>3.0876777777778142E-2</v>
      </c>
      <c r="V71" s="56">
        <f t="shared" si="8"/>
        <v>3.0876777777778142E-2</v>
      </c>
      <c r="W71" s="56">
        <f t="shared" si="9"/>
        <v>3.0876777777778142E-2</v>
      </c>
      <c r="X71" s="57">
        <f>-0.07+W71</f>
        <v>-3.9123222222221865E-2</v>
      </c>
      <c r="Y71" s="69"/>
      <c r="Z71" s="8"/>
      <c r="AA71" s="8"/>
    </row>
    <row r="72" spans="9:27" x14ac:dyDescent="0.3">
      <c r="I72" s="71" t="s">
        <v>43</v>
      </c>
      <c r="J72" s="48">
        <v>-0.04</v>
      </c>
      <c r="K72" s="113">
        <f t="shared" si="4"/>
        <v>-3.2444444444444442E-2</v>
      </c>
      <c r="L72" s="56">
        <f t="shared" si="5"/>
        <v>-3.2444444444444442E-2</v>
      </c>
      <c r="M72" s="113">
        <f t="shared" si="6"/>
        <v>-3.2444444444444442E-2</v>
      </c>
      <c r="N72" s="51" t="s">
        <v>143</v>
      </c>
      <c r="O72" s="113">
        <f t="shared" si="10"/>
        <v>3.2444444444444442E-2</v>
      </c>
      <c r="P72" s="56">
        <v>-0.04</v>
      </c>
      <c r="Q72" s="53">
        <v>121464.109</v>
      </c>
      <c r="R72" s="52">
        <v>-0.04</v>
      </c>
      <c r="S72" s="56">
        <f t="shared" si="11"/>
        <v>-3.2444444444444442E-2</v>
      </c>
      <c r="T72" s="51"/>
      <c r="U72" s="56">
        <f t="shared" si="7"/>
        <v>3.2444444444444442E-2</v>
      </c>
      <c r="V72" s="56">
        <f t="shared" si="8"/>
        <v>3.2444444444444442E-2</v>
      </c>
      <c r="W72" s="56">
        <f t="shared" si="9"/>
        <v>3.2444444444444442E-2</v>
      </c>
      <c r="X72" s="57">
        <f t="shared" ref="X72:X81" si="12">-0.07+W72</f>
        <v>-3.7555555555555564E-2</v>
      </c>
      <c r="Y72" s="69" t="s">
        <v>43</v>
      </c>
      <c r="Z72" s="8"/>
      <c r="AA72" s="8"/>
    </row>
    <row r="73" spans="9:27" x14ac:dyDescent="0.3">
      <c r="I73" s="67"/>
      <c r="J73" s="48">
        <v>-0.04</v>
      </c>
      <c r="K73" s="113">
        <f t="shared" si="4"/>
        <v>-3.3654555555555916E-2</v>
      </c>
      <c r="L73" s="56">
        <f t="shared" si="5"/>
        <v>-3.3654555555555916E-2</v>
      </c>
      <c r="M73" s="113">
        <f t="shared" si="6"/>
        <v>-3.3654555555555916E-2</v>
      </c>
      <c r="N73" s="51" t="s">
        <v>143</v>
      </c>
      <c r="O73" s="113">
        <f t="shared" si="10"/>
        <v>3.3654555555555916E-2</v>
      </c>
      <c r="P73" s="56">
        <v>-0.04</v>
      </c>
      <c r="Q73" s="55">
        <v>121475</v>
      </c>
      <c r="R73" s="52">
        <v>-0.04</v>
      </c>
      <c r="S73" s="56">
        <f t="shared" si="11"/>
        <v>-3.3654555555555916E-2</v>
      </c>
      <c r="T73" s="51"/>
      <c r="U73" s="56">
        <f t="shared" si="7"/>
        <v>3.3654555555555916E-2</v>
      </c>
      <c r="V73" s="56">
        <f t="shared" si="8"/>
        <v>3.3654555555555916E-2</v>
      </c>
      <c r="W73" s="56">
        <f t="shared" si="9"/>
        <v>3.3654555555555916E-2</v>
      </c>
      <c r="X73" s="57">
        <f t="shared" si="12"/>
        <v>-3.634544444444409E-2</v>
      </c>
      <c r="Y73" s="69"/>
      <c r="Z73" s="8"/>
      <c r="AA73" s="8"/>
    </row>
    <row r="74" spans="9:27" x14ac:dyDescent="0.3">
      <c r="I74" s="67"/>
      <c r="J74" s="48">
        <v>-0.04</v>
      </c>
      <c r="K74" s="113">
        <f t="shared" si="4"/>
        <v>-3.6432333333333691E-2</v>
      </c>
      <c r="L74" s="56">
        <f t="shared" si="5"/>
        <v>-3.6432333333333691E-2</v>
      </c>
      <c r="M74" s="113">
        <f t="shared" si="6"/>
        <v>-3.6432333333333691E-2</v>
      </c>
      <c r="N74" s="51" t="s">
        <v>143</v>
      </c>
      <c r="O74" s="113">
        <f t="shared" si="10"/>
        <v>3.6432333333333691E-2</v>
      </c>
      <c r="P74" s="56">
        <v>-0.04</v>
      </c>
      <c r="Q74" s="55">
        <v>121500</v>
      </c>
      <c r="R74" s="52">
        <v>-0.04</v>
      </c>
      <c r="S74" s="56">
        <f t="shared" si="11"/>
        <v>-3.6432333333333691E-2</v>
      </c>
      <c r="T74" s="51"/>
      <c r="U74" s="56">
        <f t="shared" si="7"/>
        <v>3.6432333333333691E-2</v>
      </c>
      <c r="V74" s="56">
        <f t="shared" si="8"/>
        <v>3.6432333333333691E-2</v>
      </c>
      <c r="W74" s="56">
        <f t="shared" si="9"/>
        <v>3.6432333333333691E-2</v>
      </c>
      <c r="X74" s="57">
        <f t="shared" si="12"/>
        <v>-3.3567666666666315E-2</v>
      </c>
      <c r="Y74" s="69"/>
      <c r="Z74" s="8"/>
      <c r="AA74" s="8"/>
    </row>
    <row r="75" spans="9:27" x14ac:dyDescent="0.3">
      <c r="I75" s="67"/>
      <c r="J75" s="48">
        <v>-0.04</v>
      </c>
      <c r="K75" s="113">
        <f t="shared" si="4"/>
        <v>-3.9210111111111473E-2</v>
      </c>
      <c r="L75" s="56">
        <f t="shared" si="5"/>
        <v>-3.9210111111111473E-2</v>
      </c>
      <c r="M75" s="113">
        <f t="shared" si="6"/>
        <v>-3.9210111111111473E-2</v>
      </c>
      <c r="N75" s="51" t="s">
        <v>143</v>
      </c>
      <c r="O75" s="113">
        <f t="shared" si="10"/>
        <v>3.9210111111111473E-2</v>
      </c>
      <c r="P75" s="56">
        <v>-0.04</v>
      </c>
      <c r="Q75" s="55">
        <v>121525</v>
      </c>
      <c r="R75" s="52">
        <v>-0.04</v>
      </c>
      <c r="S75" s="56">
        <f t="shared" si="11"/>
        <v>-3.9210111111111473E-2</v>
      </c>
      <c r="T75" s="51"/>
      <c r="U75" s="56">
        <f t="shared" si="7"/>
        <v>3.9210111111111473E-2</v>
      </c>
      <c r="V75" s="56">
        <f t="shared" si="8"/>
        <v>3.9210111111111473E-2</v>
      </c>
      <c r="W75" s="56">
        <f t="shared" si="9"/>
        <v>3.9210111111111473E-2</v>
      </c>
      <c r="X75" s="57">
        <f>-0.07+W75</f>
        <v>-3.0789888888888534E-2</v>
      </c>
      <c r="Y75" s="69"/>
      <c r="Z75" s="8"/>
      <c r="AA75" s="8"/>
    </row>
    <row r="76" spans="9:27" x14ac:dyDescent="0.3">
      <c r="I76" s="67"/>
      <c r="J76" s="48">
        <v>-0.04</v>
      </c>
      <c r="K76" s="113">
        <f t="shared" si="4"/>
        <v>-0.04</v>
      </c>
      <c r="L76" s="56">
        <f t="shared" si="5"/>
        <v>-0.04</v>
      </c>
      <c r="M76" s="113">
        <f t="shared" si="6"/>
        <v>-0.04</v>
      </c>
      <c r="N76" s="51" t="s">
        <v>143</v>
      </c>
      <c r="O76" s="113">
        <f t="shared" si="10"/>
        <v>0.04</v>
      </c>
      <c r="P76" s="56">
        <v>-0.04</v>
      </c>
      <c r="Q76" s="53">
        <f>Q64+216</f>
        <v>121532.109</v>
      </c>
      <c r="R76" s="52">
        <v>-0.04</v>
      </c>
      <c r="S76" s="56">
        <f t="shared" si="11"/>
        <v>-0.04</v>
      </c>
      <c r="T76" s="51"/>
      <c r="U76" s="56">
        <f t="shared" si="7"/>
        <v>0.04</v>
      </c>
      <c r="V76" s="56">
        <f t="shared" si="8"/>
        <v>0.04</v>
      </c>
      <c r="W76" s="56">
        <f t="shared" si="9"/>
        <v>0.04</v>
      </c>
      <c r="X76" s="57">
        <f>-0.07+W76</f>
        <v>-3.0000000000000006E-2</v>
      </c>
      <c r="Y76" s="69"/>
      <c r="Z76" s="8"/>
      <c r="AA76" s="8"/>
    </row>
    <row r="77" spans="9:27" x14ac:dyDescent="0.3">
      <c r="I77" s="67"/>
      <c r="J77" s="56">
        <f>K77</f>
        <v>-4.1987888888889255E-2</v>
      </c>
      <c r="K77" s="113">
        <f t="shared" si="4"/>
        <v>-4.1987888888889255E-2</v>
      </c>
      <c r="L77" s="56">
        <f t="shared" si="5"/>
        <v>-4.1987888888889255E-2</v>
      </c>
      <c r="M77" s="113">
        <f t="shared" si="6"/>
        <v>-4.1987888888889255E-2</v>
      </c>
      <c r="N77" s="51" t="s">
        <v>143</v>
      </c>
      <c r="O77" s="113">
        <f t="shared" si="10"/>
        <v>4.1987888888889255E-2</v>
      </c>
      <c r="P77" s="56">
        <v>-0.04</v>
      </c>
      <c r="Q77" s="55">
        <v>121550</v>
      </c>
      <c r="R77" s="56">
        <f>S77</f>
        <v>-4.1987888888889255E-2</v>
      </c>
      <c r="S77" s="56">
        <f t="shared" si="11"/>
        <v>-4.1987888888889255E-2</v>
      </c>
      <c r="T77" s="51"/>
      <c r="U77" s="56">
        <f t="shared" si="7"/>
        <v>4.1987888888889255E-2</v>
      </c>
      <c r="V77" s="56">
        <f t="shared" si="8"/>
        <v>4.1987888888889255E-2</v>
      </c>
      <c r="W77" s="56">
        <f t="shared" si="9"/>
        <v>4.1987888888889255E-2</v>
      </c>
      <c r="X77" s="57">
        <f>-0.07+W77</f>
        <v>-2.8012111111110752E-2</v>
      </c>
      <c r="Y77" s="69"/>
      <c r="Z77" s="8"/>
      <c r="AA77" s="8"/>
    </row>
    <row r="78" spans="9:27" x14ac:dyDescent="0.3">
      <c r="I78" s="67"/>
      <c r="J78" s="56">
        <f>K78</f>
        <v>-4.476566666666703E-2</v>
      </c>
      <c r="K78" s="113">
        <f t="shared" si="4"/>
        <v>-4.476566666666703E-2</v>
      </c>
      <c r="L78" s="56">
        <f t="shared" si="5"/>
        <v>-4.476566666666703E-2</v>
      </c>
      <c r="M78" s="113">
        <f t="shared" si="6"/>
        <v>-4.476566666666703E-2</v>
      </c>
      <c r="N78" s="51" t="s">
        <v>143</v>
      </c>
      <c r="O78" s="113">
        <f t="shared" si="10"/>
        <v>4.476566666666703E-2</v>
      </c>
      <c r="P78" s="56">
        <v>-0.04</v>
      </c>
      <c r="Q78" s="55">
        <v>121575</v>
      </c>
      <c r="R78" s="56">
        <f>S78</f>
        <v>-4.476566666666703E-2</v>
      </c>
      <c r="S78" s="56">
        <f t="shared" si="11"/>
        <v>-4.476566666666703E-2</v>
      </c>
      <c r="T78" s="51"/>
      <c r="U78" s="56">
        <f t="shared" si="7"/>
        <v>4.476566666666703E-2</v>
      </c>
      <c r="V78" s="56">
        <f t="shared" si="8"/>
        <v>4.476566666666703E-2</v>
      </c>
      <c r="W78" s="56">
        <f t="shared" si="9"/>
        <v>4.476566666666703E-2</v>
      </c>
      <c r="X78" s="57">
        <f>-0.07+W78</f>
        <v>-2.5234333333332977E-2</v>
      </c>
      <c r="Y78" s="69"/>
      <c r="Z78" s="8"/>
      <c r="AA78" s="8"/>
    </row>
    <row r="79" spans="9:27" x14ac:dyDescent="0.3">
      <c r="I79" s="70" t="s">
        <v>79</v>
      </c>
      <c r="J79" s="58">
        <f>K79</f>
        <v>-4.5999999999999999E-2</v>
      </c>
      <c r="K79" s="113">
        <f t="shared" si="4"/>
        <v>-4.5999999999999999E-2</v>
      </c>
      <c r="L79" s="58">
        <f t="shared" si="5"/>
        <v>-4.5999999999999999E-2</v>
      </c>
      <c r="M79" s="113">
        <f t="shared" si="6"/>
        <v>-4.5999999999999999E-2</v>
      </c>
      <c r="N79" s="51" t="s">
        <v>143</v>
      </c>
      <c r="O79" s="113">
        <f t="shared" si="10"/>
        <v>4.5999999999999999E-2</v>
      </c>
      <c r="P79" s="56">
        <v>-0.04</v>
      </c>
      <c r="Q79" s="53">
        <f>Q72+(B18)</f>
        <v>121586.109</v>
      </c>
      <c r="R79" s="56">
        <f>S79</f>
        <v>-4.5999999999999999E-2</v>
      </c>
      <c r="S79" s="56">
        <f t="shared" si="11"/>
        <v>-4.5999999999999999E-2</v>
      </c>
      <c r="T79" s="51"/>
      <c r="U79" s="58">
        <f t="shared" si="7"/>
        <v>4.5999999999999999E-2</v>
      </c>
      <c r="V79" s="58">
        <f t="shared" si="8"/>
        <v>4.5999999999999999E-2</v>
      </c>
      <c r="W79" s="58">
        <f t="shared" si="9"/>
        <v>4.5999999999999999E-2</v>
      </c>
      <c r="X79" s="57">
        <f t="shared" si="12"/>
        <v>-2.4000000000000007E-2</v>
      </c>
      <c r="Y79" s="69" t="s">
        <v>79</v>
      </c>
      <c r="Z79" s="8"/>
      <c r="AA79" s="8"/>
    </row>
    <row r="80" spans="9:27" x14ac:dyDescent="0.3">
      <c r="I80" s="67"/>
      <c r="J80" s="48">
        <f t="shared" ref="J80:M82" si="13">J79</f>
        <v>-4.5999999999999999E-2</v>
      </c>
      <c r="K80" s="48">
        <f t="shared" si="13"/>
        <v>-4.5999999999999999E-2</v>
      </c>
      <c r="L80" s="48">
        <f t="shared" si="13"/>
        <v>-4.5999999999999999E-2</v>
      </c>
      <c r="M80" s="48">
        <f t="shared" si="13"/>
        <v>-4.5999999999999999E-2</v>
      </c>
      <c r="N80" s="51"/>
      <c r="O80" s="52">
        <f t="shared" ref="O80:P82" si="14">O79</f>
        <v>4.5999999999999999E-2</v>
      </c>
      <c r="P80" s="52">
        <f t="shared" si="14"/>
        <v>-0.04</v>
      </c>
      <c r="Q80" s="55">
        <v>121600</v>
      </c>
      <c r="R80" s="52">
        <f t="shared" ref="R80:S82" si="15">R79</f>
        <v>-4.5999999999999999E-2</v>
      </c>
      <c r="S80" s="52">
        <f t="shared" si="15"/>
        <v>-4.5999999999999999E-2</v>
      </c>
      <c r="T80" s="51"/>
      <c r="U80" s="48">
        <f t="shared" ref="U80:W82" si="16">U79</f>
        <v>4.5999999999999999E-2</v>
      </c>
      <c r="V80" s="48">
        <f t="shared" si="16"/>
        <v>4.5999999999999999E-2</v>
      </c>
      <c r="W80" s="48">
        <f t="shared" si="16"/>
        <v>4.5999999999999999E-2</v>
      </c>
      <c r="X80" s="48">
        <f t="shared" si="12"/>
        <v>-2.4000000000000007E-2</v>
      </c>
      <c r="Y80" s="69"/>
      <c r="Z80" s="8"/>
      <c r="AA80" s="8"/>
    </row>
    <row r="81" spans="1:27" x14ac:dyDescent="0.3">
      <c r="I81" s="67"/>
      <c r="J81" s="48">
        <f t="shared" si="13"/>
        <v>-4.5999999999999999E-2</v>
      </c>
      <c r="K81" s="48">
        <f t="shared" si="13"/>
        <v>-4.5999999999999999E-2</v>
      </c>
      <c r="L81" s="48">
        <f t="shared" si="13"/>
        <v>-4.5999999999999999E-2</v>
      </c>
      <c r="M81" s="48">
        <f t="shared" si="13"/>
        <v>-4.5999999999999999E-2</v>
      </c>
      <c r="N81" s="51"/>
      <c r="O81" s="52">
        <f t="shared" si="14"/>
        <v>4.5999999999999999E-2</v>
      </c>
      <c r="P81" s="52">
        <f t="shared" si="14"/>
        <v>-0.04</v>
      </c>
      <c r="Q81" s="55">
        <v>121625</v>
      </c>
      <c r="R81" s="52">
        <f t="shared" si="15"/>
        <v>-4.5999999999999999E-2</v>
      </c>
      <c r="S81" s="52">
        <f t="shared" si="15"/>
        <v>-4.5999999999999999E-2</v>
      </c>
      <c r="T81" s="51"/>
      <c r="U81" s="48">
        <f t="shared" si="16"/>
        <v>4.5999999999999999E-2</v>
      </c>
      <c r="V81" s="48">
        <f t="shared" si="16"/>
        <v>4.5999999999999999E-2</v>
      </c>
      <c r="W81" s="48">
        <f t="shared" si="16"/>
        <v>4.5999999999999999E-2</v>
      </c>
      <c r="X81" s="48">
        <f t="shared" si="12"/>
        <v>-2.4000000000000007E-2</v>
      </c>
      <c r="Y81" s="69"/>
      <c r="Z81" s="8"/>
      <c r="AA81" s="8"/>
    </row>
    <row r="82" spans="1:27" x14ac:dyDescent="0.3">
      <c r="I82" s="67"/>
      <c r="J82" s="48">
        <f t="shared" si="13"/>
        <v>-4.5999999999999999E-2</v>
      </c>
      <c r="K82" s="48">
        <f t="shared" si="13"/>
        <v>-4.5999999999999999E-2</v>
      </c>
      <c r="L82" s="48">
        <f t="shared" si="13"/>
        <v>-4.5999999999999999E-2</v>
      </c>
      <c r="M82" s="48">
        <f t="shared" si="13"/>
        <v>-4.5999999999999999E-2</v>
      </c>
      <c r="N82" s="51"/>
      <c r="O82" s="52">
        <f t="shared" si="14"/>
        <v>4.5999999999999999E-2</v>
      </c>
      <c r="P82" s="52">
        <f t="shared" si="14"/>
        <v>-0.04</v>
      </c>
      <c r="Q82" s="55">
        <v>121650</v>
      </c>
      <c r="R82" s="52">
        <f t="shared" si="15"/>
        <v>-4.5999999999999999E-2</v>
      </c>
      <c r="S82" s="52">
        <f t="shared" si="15"/>
        <v>-4.5999999999999999E-2</v>
      </c>
      <c r="T82" s="51"/>
      <c r="U82" s="48">
        <f t="shared" si="16"/>
        <v>4.5999999999999999E-2</v>
      </c>
      <c r="V82" s="48">
        <f t="shared" si="16"/>
        <v>4.5999999999999999E-2</v>
      </c>
      <c r="W82" s="48">
        <f t="shared" si="16"/>
        <v>4.5999999999999999E-2</v>
      </c>
      <c r="X82" s="48">
        <f>X81</f>
        <v>-2.4000000000000007E-2</v>
      </c>
      <c r="Y82" s="69"/>
      <c r="Z82" s="8"/>
      <c r="AA82" s="8"/>
    </row>
    <row r="83" spans="1:27" x14ac:dyDescent="0.3">
      <c r="I83" s="67"/>
      <c r="J83" s="166" t="s">
        <v>76</v>
      </c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69"/>
      <c r="Z83" s="8"/>
      <c r="AA83" s="8"/>
    </row>
    <row r="84" spans="1:27" x14ac:dyDescent="0.3">
      <c r="I84" s="67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69"/>
      <c r="Z84" s="8"/>
      <c r="AA84" s="8"/>
    </row>
    <row r="85" spans="1:27" ht="52.2" customHeight="1" x14ac:dyDescent="0.3">
      <c r="I85" s="67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69"/>
      <c r="Z85" s="8"/>
      <c r="AA85" s="8"/>
    </row>
    <row r="86" spans="1:27" ht="14.4" customHeight="1" x14ac:dyDescent="0.3">
      <c r="I86" s="67"/>
      <c r="J86" s="112">
        <f t="shared" ref="J86:M86" si="17">J79</f>
        <v>-4.5999999999999999E-2</v>
      </c>
      <c r="K86" s="48">
        <f t="shared" si="17"/>
        <v>-4.5999999999999999E-2</v>
      </c>
      <c r="L86" s="48">
        <f t="shared" si="17"/>
        <v>-4.5999999999999999E-2</v>
      </c>
      <c r="M86" s="48">
        <f t="shared" si="17"/>
        <v>-4.5999999999999999E-2</v>
      </c>
      <c r="N86" s="51"/>
      <c r="O86" s="52">
        <f t="shared" ref="O86:P86" si="18">O79</f>
        <v>4.5999999999999999E-2</v>
      </c>
      <c r="P86" s="52">
        <f t="shared" si="18"/>
        <v>-0.04</v>
      </c>
      <c r="Q86" s="50">
        <v>126300</v>
      </c>
      <c r="R86" s="52">
        <f t="shared" ref="R86:S86" si="19">R79</f>
        <v>-4.5999999999999999E-2</v>
      </c>
      <c r="S86" s="52">
        <f t="shared" si="19"/>
        <v>-4.5999999999999999E-2</v>
      </c>
      <c r="T86" s="51"/>
      <c r="U86" s="48">
        <f t="shared" ref="U86:X86" si="20">U79</f>
        <v>4.5999999999999999E-2</v>
      </c>
      <c r="V86" s="48">
        <f t="shared" si="20"/>
        <v>4.5999999999999999E-2</v>
      </c>
      <c r="W86" s="48">
        <f t="shared" si="20"/>
        <v>4.5999999999999999E-2</v>
      </c>
      <c r="X86" s="48">
        <f t="shared" si="20"/>
        <v>-2.4000000000000007E-2</v>
      </c>
      <c r="Y86" s="69"/>
      <c r="Z86" s="8"/>
      <c r="AA86" s="8"/>
    </row>
    <row r="87" spans="1:27" s="45" customFormat="1" ht="14.4" customHeight="1" x14ac:dyDescent="0.3">
      <c r="A87" s="35"/>
      <c r="B87" s="35"/>
      <c r="C87" s="35"/>
      <c r="D87" s="35"/>
      <c r="E87" s="35"/>
      <c r="F87" s="35"/>
      <c r="G87" s="35"/>
      <c r="H87" s="35"/>
      <c r="I87" s="70"/>
      <c r="J87" s="112">
        <f t="shared" ref="J87:M87" si="21">J80</f>
        <v>-4.5999999999999999E-2</v>
      </c>
      <c r="K87" s="48">
        <f t="shared" si="21"/>
        <v>-4.5999999999999999E-2</v>
      </c>
      <c r="L87" s="48">
        <f t="shared" si="21"/>
        <v>-4.5999999999999999E-2</v>
      </c>
      <c r="M87" s="48">
        <f t="shared" si="21"/>
        <v>-4.5999999999999999E-2</v>
      </c>
      <c r="N87" s="51"/>
      <c r="O87" s="52">
        <f t="shared" ref="O87:P87" si="22">O80</f>
        <v>4.5999999999999999E-2</v>
      </c>
      <c r="P87" s="52">
        <f t="shared" si="22"/>
        <v>-0.04</v>
      </c>
      <c r="Q87" s="50">
        <v>126325</v>
      </c>
      <c r="R87" s="52">
        <f t="shared" ref="R87:S87" si="23">R80</f>
        <v>-4.5999999999999999E-2</v>
      </c>
      <c r="S87" s="52">
        <f t="shared" si="23"/>
        <v>-4.5999999999999999E-2</v>
      </c>
      <c r="T87" s="51"/>
      <c r="U87" s="48">
        <f t="shared" ref="U87:X87" si="24">U80</f>
        <v>4.5999999999999999E-2</v>
      </c>
      <c r="V87" s="48">
        <f t="shared" si="24"/>
        <v>4.5999999999999999E-2</v>
      </c>
      <c r="W87" s="48">
        <f t="shared" si="24"/>
        <v>4.5999999999999999E-2</v>
      </c>
      <c r="X87" s="48">
        <f t="shared" si="24"/>
        <v>-2.4000000000000007E-2</v>
      </c>
      <c r="Y87" s="69"/>
      <c r="Z87" s="35"/>
      <c r="AA87" s="35"/>
    </row>
    <row r="88" spans="1:27" s="45" customFormat="1" x14ac:dyDescent="0.3">
      <c r="A88" s="35"/>
      <c r="B88" s="35"/>
      <c r="C88" s="35"/>
      <c r="D88" s="35"/>
      <c r="E88" s="35"/>
      <c r="F88" s="35"/>
      <c r="G88" s="35"/>
      <c r="H88" s="35"/>
      <c r="I88" s="70"/>
      <c r="J88" s="112">
        <f t="shared" ref="J88:M88" si="25">J81</f>
        <v>-4.5999999999999999E-2</v>
      </c>
      <c r="K88" s="48">
        <f t="shared" si="25"/>
        <v>-4.5999999999999999E-2</v>
      </c>
      <c r="L88" s="48">
        <f t="shared" si="25"/>
        <v>-4.5999999999999999E-2</v>
      </c>
      <c r="M88" s="48">
        <f t="shared" si="25"/>
        <v>-4.5999999999999999E-2</v>
      </c>
      <c r="N88" s="51"/>
      <c r="O88" s="52">
        <f t="shared" ref="O88:P88" si="26">O81</f>
        <v>4.5999999999999999E-2</v>
      </c>
      <c r="P88" s="52">
        <f t="shared" si="26"/>
        <v>-0.04</v>
      </c>
      <c r="Q88" s="55">
        <v>126350</v>
      </c>
      <c r="R88" s="52">
        <f t="shared" ref="R88:S88" si="27">R81</f>
        <v>-4.5999999999999999E-2</v>
      </c>
      <c r="S88" s="52">
        <f t="shared" si="27"/>
        <v>-4.5999999999999999E-2</v>
      </c>
      <c r="T88" s="51"/>
      <c r="U88" s="48">
        <f t="shared" ref="U88:X88" si="28">U81</f>
        <v>4.5999999999999999E-2</v>
      </c>
      <c r="V88" s="48">
        <f t="shared" si="28"/>
        <v>4.5999999999999999E-2</v>
      </c>
      <c r="W88" s="48">
        <f t="shared" si="28"/>
        <v>4.5999999999999999E-2</v>
      </c>
      <c r="X88" s="48">
        <f t="shared" si="28"/>
        <v>-2.4000000000000007E-2</v>
      </c>
      <c r="Y88" s="69"/>
      <c r="Z88" s="35"/>
      <c r="AA88" s="35"/>
    </row>
    <row r="89" spans="1:27" x14ac:dyDescent="0.3">
      <c r="I89" s="70" t="s">
        <v>80</v>
      </c>
      <c r="J89" s="112">
        <f>J82</f>
        <v>-4.5999999999999999E-2</v>
      </c>
      <c r="K89" s="48">
        <f>K82</f>
        <v>-4.5999999999999999E-2</v>
      </c>
      <c r="L89" s="48">
        <f>L82</f>
        <v>-4.5999999999999999E-2</v>
      </c>
      <c r="M89" s="48">
        <f>M82</f>
        <v>-4.5999999999999999E-2</v>
      </c>
      <c r="N89" s="51"/>
      <c r="O89" s="52">
        <f>O82</f>
        <v>4.5999999999999999E-2</v>
      </c>
      <c r="P89" s="52">
        <f>P82</f>
        <v>-0.04</v>
      </c>
      <c r="Q89" s="53">
        <f>Q96-B18</f>
        <v>126370.802</v>
      </c>
      <c r="R89" s="52">
        <f>R82</f>
        <v>-4.5999999999999999E-2</v>
      </c>
      <c r="S89" s="52">
        <f>S82</f>
        <v>-4.5999999999999999E-2</v>
      </c>
      <c r="T89" s="51"/>
      <c r="U89" s="112">
        <f>U82</f>
        <v>4.5999999999999999E-2</v>
      </c>
      <c r="V89" s="48">
        <f>V82</f>
        <v>4.5999999999999999E-2</v>
      </c>
      <c r="W89" s="48">
        <f>W82</f>
        <v>4.5999999999999999E-2</v>
      </c>
      <c r="X89" s="48">
        <f>X82</f>
        <v>-2.4000000000000007E-2</v>
      </c>
      <c r="Y89" s="68" t="s">
        <v>80</v>
      </c>
      <c r="Z89" s="8"/>
      <c r="AA89" s="8"/>
    </row>
    <row r="90" spans="1:27" x14ac:dyDescent="0.3">
      <c r="I90" s="70"/>
      <c r="J90" s="113">
        <f>K90</f>
        <v>-4.5533555555555112E-2</v>
      </c>
      <c r="K90" s="113">
        <f t="shared" ref="K90:K104" si="29">$K$89+((Q90-$Q$89)/(($B$7)*(36)))</f>
        <v>-4.5533555555555112E-2</v>
      </c>
      <c r="L90" s="113">
        <f t="shared" ref="L90:L104" si="30">$L$89+((Q90-$Q$89)/(($B$7)*(36)))</f>
        <v>-4.5533555555555112E-2</v>
      </c>
      <c r="M90" s="56">
        <f t="shared" ref="M90:M104" si="31">$M$89+((Q90-$Q$89)/(($B$7)*(36)))</f>
        <v>-4.5533555555555112E-2</v>
      </c>
      <c r="N90" s="51" t="s">
        <v>143</v>
      </c>
      <c r="O90" s="113">
        <f>-M90</f>
        <v>4.5533555555555112E-2</v>
      </c>
      <c r="P90" s="56">
        <v>-0.04</v>
      </c>
      <c r="Q90" s="55">
        <v>126375</v>
      </c>
      <c r="R90" s="56">
        <f>S90</f>
        <v>-4.5533555555555112E-2</v>
      </c>
      <c r="S90" s="56">
        <f>-U90</f>
        <v>-4.5533555555555112E-2</v>
      </c>
      <c r="T90" s="51"/>
      <c r="U90" s="113">
        <f t="shared" ref="U90:U104" si="32">$U$89-((Q90-$Q$89)/(($B$7)*(36)))</f>
        <v>4.5533555555555112E-2</v>
      </c>
      <c r="V90" s="113">
        <f t="shared" ref="V90:V104" si="33">$V$89-((Q90-$Q$89)/(($B$7)*(36)))</f>
        <v>4.5533555555555112E-2</v>
      </c>
      <c r="W90" s="113">
        <f t="shared" ref="W90:W104" si="34">$W$89-((Q90-$Q$89)/(($B$7)*(36)))</f>
        <v>4.5533555555555112E-2</v>
      </c>
      <c r="X90" s="56">
        <f t="shared" ref="X90:X97" si="35">-0.07+W90</f>
        <v>-2.4466444444444894E-2</v>
      </c>
      <c r="Y90" s="68"/>
      <c r="Z90" s="8"/>
      <c r="AA90" s="8"/>
    </row>
    <row r="91" spans="1:27" x14ac:dyDescent="0.3">
      <c r="I91" s="70"/>
      <c r="J91" s="113">
        <f>K91</f>
        <v>-4.2755777777777337E-2</v>
      </c>
      <c r="K91" s="113">
        <f t="shared" si="29"/>
        <v>-4.2755777777777337E-2</v>
      </c>
      <c r="L91" s="113">
        <f t="shared" si="30"/>
        <v>-4.2755777777777337E-2</v>
      </c>
      <c r="M91" s="56">
        <f t="shared" si="31"/>
        <v>-4.2755777777777337E-2</v>
      </c>
      <c r="N91" s="51" t="s">
        <v>143</v>
      </c>
      <c r="O91" s="113">
        <f>-M91</f>
        <v>4.2755777777777337E-2</v>
      </c>
      <c r="P91" s="56">
        <v>-0.04</v>
      </c>
      <c r="Q91" s="55">
        <v>126400</v>
      </c>
      <c r="R91" s="56">
        <f>S91</f>
        <v>-4.2755777777777337E-2</v>
      </c>
      <c r="S91" s="56">
        <f>-U91</f>
        <v>-4.2755777777777337E-2</v>
      </c>
      <c r="T91" s="51"/>
      <c r="U91" s="113">
        <f t="shared" si="32"/>
        <v>4.2755777777777337E-2</v>
      </c>
      <c r="V91" s="113">
        <f t="shared" si="33"/>
        <v>4.2755777777777337E-2</v>
      </c>
      <c r="W91" s="113">
        <f t="shared" si="34"/>
        <v>4.2755777777777337E-2</v>
      </c>
      <c r="X91" s="56">
        <f t="shared" si="35"/>
        <v>-2.7244222222222669E-2</v>
      </c>
      <c r="Y91" s="68"/>
      <c r="Z91" s="8"/>
      <c r="AA91" s="8"/>
    </row>
    <row r="92" spans="1:27" x14ac:dyDescent="0.3">
      <c r="I92" s="70"/>
      <c r="J92" s="113">
        <f>K92</f>
        <v>-0.04</v>
      </c>
      <c r="K92" s="113">
        <f t="shared" si="29"/>
        <v>-0.04</v>
      </c>
      <c r="L92" s="113">
        <f t="shared" si="30"/>
        <v>-0.04</v>
      </c>
      <c r="M92" s="56">
        <f t="shared" si="31"/>
        <v>-0.04</v>
      </c>
      <c r="N92" s="51" t="s">
        <v>143</v>
      </c>
      <c r="O92" s="113">
        <f>-M92</f>
        <v>0.04</v>
      </c>
      <c r="P92" s="56">
        <v>-0.04</v>
      </c>
      <c r="Q92" s="53">
        <f>Q89+54</f>
        <v>126424.802</v>
      </c>
      <c r="R92" s="56">
        <f>S92</f>
        <v>-0.04</v>
      </c>
      <c r="S92" s="56">
        <f>-U92</f>
        <v>-0.04</v>
      </c>
      <c r="T92" s="51"/>
      <c r="U92" s="113">
        <f t="shared" si="32"/>
        <v>0.04</v>
      </c>
      <c r="V92" s="113">
        <f t="shared" si="33"/>
        <v>0.04</v>
      </c>
      <c r="W92" s="113">
        <f t="shared" si="34"/>
        <v>0.04</v>
      </c>
      <c r="X92" s="56">
        <f t="shared" si="35"/>
        <v>-3.0000000000000006E-2</v>
      </c>
      <c r="Y92" s="68"/>
      <c r="Z92" s="8"/>
      <c r="AA92" s="8"/>
    </row>
    <row r="93" spans="1:27" x14ac:dyDescent="0.3">
      <c r="I93" s="70"/>
      <c r="J93" s="112">
        <v>-0.04</v>
      </c>
      <c r="K93" s="113">
        <f t="shared" si="29"/>
        <v>-3.9977999999999556E-2</v>
      </c>
      <c r="L93" s="113">
        <f t="shared" si="30"/>
        <v>-3.9977999999999556E-2</v>
      </c>
      <c r="M93" s="56">
        <f t="shared" si="31"/>
        <v>-3.9977999999999556E-2</v>
      </c>
      <c r="N93" s="51" t="s">
        <v>143</v>
      </c>
      <c r="O93" s="113">
        <f>-M93</f>
        <v>3.9977999999999556E-2</v>
      </c>
      <c r="P93" s="56">
        <v>-0.04</v>
      </c>
      <c r="Q93" s="55">
        <v>126425</v>
      </c>
      <c r="R93" s="59">
        <v>-0.04</v>
      </c>
      <c r="S93" s="56">
        <f t="shared" ref="S93:S103" si="36">-U93</f>
        <v>-3.9977999999999556E-2</v>
      </c>
      <c r="T93" s="51"/>
      <c r="U93" s="113">
        <f t="shared" si="32"/>
        <v>3.9977999999999556E-2</v>
      </c>
      <c r="V93" s="113">
        <f t="shared" si="33"/>
        <v>3.9977999999999556E-2</v>
      </c>
      <c r="W93" s="113">
        <f t="shared" si="34"/>
        <v>3.9977999999999556E-2</v>
      </c>
      <c r="X93" s="56">
        <f t="shared" si="35"/>
        <v>-3.0022000000000451E-2</v>
      </c>
      <c r="Y93" s="68"/>
      <c r="Z93" s="8"/>
      <c r="AA93" s="8"/>
    </row>
    <row r="94" spans="1:27" x14ac:dyDescent="0.3">
      <c r="I94" s="70"/>
      <c r="J94" s="112">
        <v>-0.04</v>
      </c>
      <c r="K94" s="113">
        <f t="shared" si="29"/>
        <v>-3.7200222222221781E-2</v>
      </c>
      <c r="L94" s="113">
        <f t="shared" si="30"/>
        <v>-3.7200222222221781E-2</v>
      </c>
      <c r="M94" s="56">
        <f t="shared" si="31"/>
        <v>-3.7200222222221781E-2</v>
      </c>
      <c r="N94" s="51" t="s">
        <v>143</v>
      </c>
      <c r="O94" s="113">
        <f t="shared" ref="O94:O103" si="37">-M94</f>
        <v>3.7200222222221781E-2</v>
      </c>
      <c r="P94" s="56">
        <v>-0.04</v>
      </c>
      <c r="Q94" s="55">
        <v>126450</v>
      </c>
      <c r="R94" s="59">
        <v>-0.04</v>
      </c>
      <c r="S94" s="56">
        <f t="shared" si="36"/>
        <v>-3.7200222222221781E-2</v>
      </c>
      <c r="T94" s="51"/>
      <c r="U94" s="113">
        <f t="shared" si="32"/>
        <v>3.7200222222221781E-2</v>
      </c>
      <c r="V94" s="113">
        <f t="shared" si="33"/>
        <v>3.7200222222221781E-2</v>
      </c>
      <c r="W94" s="113">
        <f t="shared" si="34"/>
        <v>3.7200222222221781E-2</v>
      </c>
      <c r="X94" s="56">
        <f t="shared" si="35"/>
        <v>-3.2799777777778226E-2</v>
      </c>
      <c r="Y94" s="68"/>
      <c r="Z94" s="8"/>
      <c r="AA94" s="8"/>
    </row>
    <row r="95" spans="1:27" x14ac:dyDescent="0.3">
      <c r="I95" s="67"/>
      <c r="J95" s="112">
        <v>-0.04</v>
      </c>
      <c r="K95" s="113">
        <f t="shared" si="29"/>
        <v>-3.4422444444444006E-2</v>
      </c>
      <c r="L95" s="113">
        <f t="shared" si="30"/>
        <v>-3.4422444444444006E-2</v>
      </c>
      <c r="M95" s="56">
        <f t="shared" si="31"/>
        <v>-3.4422444444444006E-2</v>
      </c>
      <c r="N95" s="51" t="s">
        <v>143</v>
      </c>
      <c r="O95" s="113">
        <f t="shared" si="37"/>
        <v>3.4422444444444006E-2</v>
      </c>
      <c r="P95" s="56">
        <v>-0.04</v>
      </c>
      <c r="Q95" s="55">
        <v>126475</v>
      </c>
      <c r="R95" s="59">
        <v>-0.04</v>
      </c>
      <c r="S95" s="56">
        <f t="shared" si="36"/>
        <v>-3.4422444444444006E-2</v>
      </c>
      <c r="T95" s="51"/>
      <c r="U95" s="113">
        <f t="shared" si="32"/>
        <v>3.4422444444444006E-2</v>
      </c>
      <c r="V95" s="113">
        <f t="shared" si="33"/>
        <v>3.4422444444444006E-2</v>
      </c>
      <c r="W95" s="113">
        <f t="shared" si="34"/>
        <v>3.4422444444444006E-2</v>
      </c>
      <c r="X95" s="56">
        <f t="shared" si="35"/>
        <v>-3.5577555555556001E-2</v>
      </c>
      <c r="Y95" s="69"/>
      <c r="Z95" s="8"/>
      <c r="AA95" s="8"/>
    </row>
    <row r="96" spans="1:27" s="47" customFormat="1" x14ac:dyDescent="0.3">
      <c r="A96" s="46"/>
      <c r="B96" s="46"/>
      <c r="C96" s="46"/>
      <c r="D96" s="46"/>
      <c r="E96" s="46"/>
      <c r="F96" s="46"/>
      <c r="G96" s="46"/>
      <c r="H96" s="46"/>
      <c r="I96" s="71" t="s">
        <v>44</v>
      </c>
      <c r="J96" s="112">
        <v>-0.04</v>
      </c>
      <c r="K96" s="113">
        <f t="shared" si="29"/>
        <v>-3.2444444444444442E-2</v>
      </c>
      <c r="L96" s="113">
        <f t="shared" si="30"/>
        <v>-3.2444444444444442E-2</v>
      </c>
      <c r="M96" s="56">
        <f t="shared" si="31"/>
        <v>-3.2444444444444442E-2</v>
      </c>
      <c r="N96" s="51" t="s">
        <v>143</v>
      </c>
      <c r="O96" s="113">
        <f t="shared" si="37"/>
        <v>3.2444444444444442E-2</v>
      </c>
      <c r="P96" s="56">
        <v>-0.04</v>
      </c>
      <c r="Q96" s="61">
        <v>126492.802</v>
      </c>
      <c r="R96" s="59">
        <v>-0.04</v>
      </c>
      <c r="S96" s="56">
        <f t="shared" si="36"/>
        <v>-3.2444444444444442E-2</v>
      </c>
      <c r="T96" s="60"/>
      <c r="U96" s="113">
        <f t="shared" si="32"/>
        <v>3.2444444444444442E-2</v>
      </c>
      <c r="V96" s="113">
        <f t="shared" si="33"/>
        <v>3.2444444444444442E-2</v>
      </c>
      <c r="W96" s="113">
        <f t="shared" si="34"/>
        <v>3.2444444444444442E-2</v>
      </c>
      <c r="X96" s="56">
        <f t="shared" si="35"/>
        <v>-3.7555555555555564E-2</v>
      </c>
      <c r="Y96" s="72" t="s">
        <v>44</v>
      </c>
      <c r="Z96" s="46"/>
      <c r="AA96" s="46"/>
    </row>
    <row r="97" spans="9:27" x14ac:dyDescent="0.3">
      <c r="I97" s="67"/>
      <c r="J97" s="112">
        <v>-0.04</v>
      </c>
      <c r="K97" s="113">
        <f t="shared" si="29"/>
        <v>-3.1644666666666224E-2</v>
      </c>
      <c r="L97" s="113">
        <f t="shared" si="30"/>
        <v>-3.1644666666666224E-2</v>
      </c>
      <c r="M97" s="56">
        <f t="shared" si="31"/>
        <v>-3.1644666666666224E-2</v>
      </c>
      <c r="N97" s="51" t="s">
        <v>143</v>
      </c>
      <c r="O97" s="113">
        <f t="shared" si="37"/>
        <v>3.1644666666666224E-2</v>
      </c>
      <c r="P97" s="56">
        <v>-0.04</v>
      </c>
      <c r="Q97" s="50">
        <v>126500</v>
      </c>
      <c r="R97" s="59">
        <v>-0.04</v>
      </c>
      <c r="S97" s="56">
        <f t="shared" si="36"/>
        <v>-3.1644666666666224E-2</v>
      </c>
      <c r="T97" s="51"/>
      <c r="U97" s="113">
        <f t="shared" si="32"/>
        <v>3.1644666666666224E-2</v>
      </c>
      <c r="V97" s="113">
        <f t="shared" si="33"/>
        <v>3.1644666666666224E-2</v>
      </c>
      <c r="W97" s="113">
        <f t="shared" si="34"/>
        <v>3.1644666666666224E-2</v>
      </c>
      <c r="X97" s="56">
        <f t="shared" si="35"/>
        <v>-3.8355333333333783E-2</v>
      </c>
      <c r="Y97" s="68"/>
      <c r="Z97" s="8"/>
      <c r="AA97" s="8"/>
    </row>
    <row r="98" spans="9:27" x14ac:dyDescent="0.3">
      <c r="I98" s="70" t="s">
        <v>74</v>
      </c>
      <c r="J98" s="112">
        <v>-0.04</v>
      </c>
      <c r="K98" s="113">
        <f t="shared" si="29"/>
        <v>-3.000022222222146E-2</v>
      </c>
      <c r="L98" s="113">
        <f t="shared" si="30"/>
        <v>-3.000022222222146E-2</v>
      </c>
      <c r="M98" s="56">
        <f t="shared" si="31"/>
        <v>-3.000022222222146E-2</v>
      </c>
      <c r="N98" s="51"/>
      <c r="O98" s="113">
        <f t="shared" si="37"/>
        <v>3.000022222222146E-2</v>
      </c>
      <c r="P98" s="56">
        <v>-0.04</v>
      </c>
      <c r="Q98" s="62">
        <v>126514.8</v>
      </c>
      <c r="R98" s="59">
        <v>-0.04</v>
      </c>
      <c r="S98" s="56">
        <f t="shared" si="36"/>
        <v>-3.000022222222146E-2</v>
      </c>
      <c r="T98" s="51"/>
      <c r="U98" s="113">
        <f t="shared" si="32"/>
        <v>3.000022222222146E-2</v>
      </c>
      <c r="V98" s="113">
        <f t="shared" si="33"/>
        <v>3.000022222222146E-2</v>
      </c>
      <c r="W98" s="113">
        <f t="shared" si="34"/>
        <v>3.000022222222146E-2</v>
      </c>
      <c r="X98" s="56">
        <f>-0.07+W98</f>
        <v>-3.999977777777855E-2</v>
      </c>
      <c r="Y98" s="68" t="s">
        <v>82</v>
      </c>
      <c r="Z98" s="8"/>
      <c r="AA98" s="8"/>
    </row>
    <row r="99" spans="9:27" x14ac:dyDescent="0.3">
      <c r="I99" s="67"/>
      <c r="J99" s="112">
        <v>-0.04</v>
      </c>
      <c r="K99" s="113">
        <f t="shared" si="29"/>
        <v>-2.8866888888888449E-2</v>
      </c>
      <c r="L99" s="113">
        <f t="shared" si="30"/>
        <v>-2.8866888888888449E-2</v>
      </c>
      <c r="M99" s="56">
        <f t="shared" si="31"/>
        <v>-2.8866888888888449E-2</v>
      </c>
      <c r="N99" s="51"/>
      <c r="O99" s="113">
        <f t="shared" si="37"/>
        <v>2.8866888888888449E-2</v>
      </c>
      <c r="P99" s="59">
        <v>-0.04</v>
      </c>
      <c r="Q99" s="50">
        <v>126525</v>
      </c>
      <c r="R99" s="59">
        <v>-0.04</v>
      </c>
      <c r="S99" s="56">
        <f t="shared" si="36"/>
        <v>-2.8866888888888449E-2</v>
      </c>
      <c r="T99" s="51"/>
      <c r="U99" s="113">
        <f t="shared" si="32"/>
        <v>2.8866888888888449E-2</v>
      </c>
      <c r="V99" s="113">
        <f t="shared" si="33"/>
        <v>2.8866888888888449E-2</v>
      </c>
      <c r="W99" s="113">
        <f t="shared" si="34"/>
        <v>2.8866888888888449E-2</v>
      </c>
      <c r="X99" s="52">
        <v>-0.04</v>
      </c>
      <c r="Y99" s="68"/>
      <c r="Z99" s="8"/>
      <c r="AA99" s="8"/>
    </row>
    <row r="100" spans="9:27" x14ac:dyDescent="0.3">
      <c r="I100" s="67"/>
      <c r="J100" s="112">
        <v>-0.04</v>
      </c>
      <c r="K100" s="113">
        <f t="shared" si="29"/>
        <v>-2.6089111111110671E-2</v>
      </c>
      <c r="L100" s="113">
        <f t="shared" si="30"/>
        <v>-2.6089111111110671E-2</v>
      </c>
      <c r="M100" s="56">
        <f t="shared" si="31"/>
        <v>-2.6089111111110671E-2</v>
      </c>
      <c r="N100" s="51"/>
      <c r="O100" s="113">
        <f t="shared" si="37"/>
        <v>2.6089111111110671E-2</v>
      </c>
      <c r="P100" s="59">
        <v>-0.04</v>
      </c>
      <c r="Q100" s="50">
        <v>126550</v>
      </c>
      <c r="R100" s="59">
        <v>-0.04</v>
      </c>
      <c r="S100" s="56">
        <f t="shared" si="36"/>
        <v>-2.6089111111110671E-2</v>
      </c>
      <c r="T100" s="51"/>
      <c r="U100" s="113">
        <f t="shared" si="32"/>
        <v>2.6089111111110671E-2</v>
      </c>
      <c r="V100" s="113">
        <f t="shared" si="33"/>
        <v>2.6089111111110671E-2</v>
      </c>
      <c r="W100" s="113">
        <f t="shared" si="34"/>
        <v>2.6089111111110671E-2</v>
      </c>
      <c r="X100" s="52">
        <v>-0.04</v>
      </c>
      <c r="Y100" s="68"/>
      <c r="Z100" s="8"/>
      <c r="AA100" s="8"/>
    </row>
    <row r="101" spans="9:27" x14ac:dyDescent="0.3">
      <c r="I101" s="67"/>
      <c r="J101" s="112">
        <v>-0.04</v>
      </c>
      <c r="K101" s="113">
        <f t="shared" si="29"/>
        <v>-2.3311333333332893E-2</v>
      </c>
      <c r="L101" s="113">
        <f t="shared" si="30"/>
        <v>-2.3311333333332893E-2</v>
      </c>
      <c r="M101" s="56">
        <f t="shared" si="31"/>
        <v>-2.3311333333332893E-2</v>
      </c>
      <c r="N101" s="51"/>
      <c r="O101" s="113">
        <f t="shared" si="37"/>
        <v>2.3311333333332893E-2</v>
      </c>
      <c r="P101" s="59">
        <v>-0.04</v>
      </c>
      <c r="Q101" s="50">
        <v>126575</v>
      </c>
      <c r="R101" s="59">
        <v>-0.04</v>
      </c>
      <c r="S101" s="56">
        <f t="shared" si="36"/>
        <v>-2.3311333333332893E-2</v>
      </c>
      <c r="T101" s="51"/>
      <c r="U101" s="113">
        <f t="shared" si="32"/>
        <v>2.3311333333332893E-2</v>
      </c>
      <c r="V101" s="113">
        <f t="shared" si="33"/>
        <v>2.3311333333332893E-2</v>
      </c>
      <c r="W101" s="113">
        <f t="shared" si="34"/>
        <v>2.3311333333332893E-2</v>
      </c>
      <c r="X101" s="52">
        <v>-0.04</v>
      </c>
      <c r="Y101" s="68"/>
      <c r="Z101" s="8"/>
      <c r="AA101" s="8"/>
    </row>
    <row r="102" spans="9:27" x14ac:dyDescent="0.3">
      <c r="I102" s="67"/>
      <c r="J102" s="112">
        <v>-0.04</v>
      </c>
      <c r="K102" s="113">
        <f t="shared" si="29"/>
        <v>-2.0533555555555114E-2</v>
      </c>
      <c r="L102" s="113">
        <f t="shared" si="30"/>
        <v>-2.0533555555555114E-2</v>
      </c>
      <c r="M102" s="56">
        <f t="shared" si="31"/>
        <v>-2.0533555555555114E-2</v>
      </c>
      <c r="N102" s="51"/>
      <c r="O102" s="113">
        <f t="shared" si="37"/>
        <v>2.0533555555555114E-2</v>
      </c>
      <c r="P102" s="59">
        <v>-0.04</v>
      </c>
      <c r="Q102" s="50">
        <v>126600</v>
      </c>
      <c r="R102" s="59">
        <v>-0.04</v>
      </c>
      <c r="S102" s="56">
        <f t="shared" si="36"/>
        <v>-2.0533555555555114E-2</v>
      </c>
      <c r="T102" s="51"/>
      <c r="U102" s="113">
        <f t="shared" si="32"/>
        <v>2.0533555555555114E-2</v>
      </c>
      <c r="V102" s="113">
        <f t="shared" si="33"/>
        <v>2.0533555555555114E-2</v>
      </c>
      <c r="W102" s="113">
        <f t="shared" si="34"/>
        <v>2.0533555555555114E-2</v>
      </c>
      <c r="X102" s="52">
        <v>-0.04</v>
      </c>
      <c r="Y102" s="68"/>
      <c r="Z102" s="8"/>
      <c r="AA102" s="8"/>
    </row>
    <row r="103" spans="9:27" x14ac:dyDescent="0.3">
      <c r="I103" s="67"/>
      <c r="J103" s="112">
        <v>-0.04</v>
      </c>
      <c r="K103" s="113">
        <f t="shared" si="29"/>
        <v>-1.7755777777777336E-2</v>
      </c>
      <c r="L103" s="113">
        <f t="shared" si="30"/>
        <v>-1.7755777777777336E-2</v>
      </c>
      <c r="M103" s="56">
        <f t="shared" si="31"/>
        <v>-1.7755777777777336E-2</v>
      </c>
      <c r="N103" s="51"/>
      <c r="O103" s="113">
        <f t="shared" si="37"/>
        <v>1.7755777777777336E-2</v>
      </c>
      <c r="P103" s="59">
        <v>-0.04</v>
      </c>
      <c r="Q103" s="50">
        <v>126625</v>
      </c>
      <c r="R103" s="59">
        <v>-0.04</v>
      </c>
      <c r="S103" s="56">
        <f t="shared" si="36"/>
        <v>-1.7755777777777336E-2</v>
      </c>
      <c r="T103" s="51"/>
      <c r="U103" s="113">
        <f t="shared" si="32"/>
        <v>1.7755777777777336E-2</v>
      </c>
      <c r="V103" s="113">
        <f t="shared" si="33"/>
        <v>1.7755777777777336E-2</v>
      </c>
      <c r="W103" s="113">
        <f t="shared" si="34"/>
        <v>1.7755777777777336E-2</v>
      </c>
      <c r="X103" s="52">
        <v>-0.04</v>
      </c>
      <c r="Y103" s="68"/>
      <c r="Z103" s="8"/>
      <c r="AA103" s="8"/>
    </row>
    <row r="104" spans="9:27" x14ac:dyDescent="0.3">
      <c r="I104" s="67"/>
      <c r="J104" s="112">
        <v>-0.04</v>
      </c>
      <c r="K104" s="113">
        <f t="shared" si="29"/>
        <v>-1.6E-2</v>
      </c>
      <c r="L104" s="113">
        <f t="shared" si="30"/>
        <v>-1.6E-2</v>
      </c>
      <c r="M104" s="58">
        <f t="shared" si="31"/>
        <v>-1.6E-2</v>
      </c>
      <c r="N104" s="51"/>
      <c r="O104" s="113">
        <f t="shared" ref="O104:O111" si="38">-M104</f>
        <v>1.6E-2</v>
      </c>
      <c r="P104" s="59">
        <v>-0.04</v>
      </c>
      <c r="Q104" s="62">
        <f>Q89+B15</f>
        <v>126640.802</v>
      </c>
      <c r="R104" s="59">
        <v>-0.04</v>
      </c>
      <c r="S104" s="56">
        <f>-U104</f>
        <v>-1.6E-2</v>
      </c>
      <c r="T104" s="51"/>
      <c r="U104" s="113">
        <f t="shared" si="32"/>
        <v>1.6E-2</v>
      </c>
      <c r="V104" s="113">
        <f t="shared" si="33"/>
        <v>1.6E-2</v>
      </c>
      <c r="W104" s="113">
        <f t="shared" si="34"/>
        <v>1.6E-2</v>
      </c>
      <c r="X104" s="52">
        <v>-0.04</v>
      </c>
      <c r="Y104" s="68"/>
      <c r="Z104" s="8"/>
      <c r="AA104" s="8"/>
    </row>
    <row r="105" spans="9:27" x14ac:dyDescent="0.3">
      <c r="I105" s="67"/>
      <c r="J105" s="52">
        <v>-0.04</v>
      </c>
      <c r="K105" s="52">
        <v>-1.6E-2</v>
      </c>
      <c r="L105" s="52">
        <v>-1.6E-2</v>
      </c>
      <c r="M105" s="56">
        <f t="shared" ref="M105:M110" si="39">$M$104+((Q105-$Q$104)/(($B$7)*(12)))</f>
        <v>-1.2933999999998681E-2</v>
      </c>
      <c r="N105" s="51"/>
      <c r="O105" s="113">
        <f t="shared" si="38"/>
        <v>1.2933999999998681E-2</v>
      </c>
      <c r="P105" s="59">
        <v>-0.04</v>
      </c>
      <c r="Q105" s="50">
        <v>126650</v>
      </c>
      <c r="R105" s="59">
        <v>-0.04</v>
      </c>
      <c r="S105" s="48">
        <f>-U105</f>
        <v>-1.6E-2</v>
      </c>
      <c r="T105" s="51"/>
      <c r="U105" s="48">
        <v>1.6E-2</v>
      </c>
      <c r="V105" s="113">
        <f t="shared" ref="V105:V115" si="40">$V$104-((Q105-$Q$104)/(($B$7)*(24)))</f>
        <v>1.4466999999999341E-2</v>
      </c>
      <c r="W105" s="113">
        <f t="shared" ref="W105:W115" si="41">$W$104-((Q105-$Q$104)/(($B$7)*(24)))</f>
        <v>1.4466999999999341E-2</v>
      </c>
      <c r="X105" s="52">
        <v>-0.04</v>
      </c>
      <c r="Y105" s="68"/>
      <c r="Z105" s="8"/>
      <c r="AA105" s="8"/>
    </row>
    <row r="106" spans="9:27" x14ac:dyDescent="0.3">
      <c r="I106" s="67"/>
      <c r="J106" s="52">
        <v>-0.04</v>
      </c>
      <c r="K106" s="52">
        <v>-1.6E-2</v>
      </c>
      <c r="L106" s="52">
        <v>-1.6E-2</v>
      </c>
      <c r="M106" s="56">
        <f t="shared" si="39"/>
        <v>-4.6006666666653477E-3</v>
      </c>
      <c r="N106" s="51"/>
      <c r="O106" s="113">
        <f t="shared" si="38"/>
        <v>4.6006666666653477E-3</v>
      </c>
      <c r="P106" s="59">
        <v>-0.04</v>
      </c>
      <c r="Q106" s="50">
        <v>126675</v>
      </c>
      <c r="R106" s="59">
        <v>-0.04</v>
      </c>
      <c r="S106" s="48">
        <f t="shared" ref="S106:S110" si="42">-U106</f>
        <v>-1.6E-2</v>
      </c>
      <c r="T106" s="51"/>
      <c r="U106" s="48">
        <v>1.6E-2</v>
      </c>
      <c r="V106" s="113">
        <f t="shared" si="40"/>
        <v>1.0300333333332674E-2</v>
      </c>
      <c r="W106" s="113">
        <f t="shared" si="41"/>
        <v>1.0300333333332674E-2</v>
      </c>
      <c r="X106" s="52">
        <v>-0.04</v>
      </c>
      <c r="Y106" s="68"/>
      <c r="Z106" s="8"/>
      <c r="AA106" s="8"/>
    </row>
    <row r="107" spans="9:27" x14ac:dyDescent="0.3">
      <c r="I107" s="70" t="s">
        <v>83</v>
      </c>
      <c r="J107" s="52">
        <v>-0.04</v>
      </c>
      <c r="K107" s="52">
        <v>-1.6E-2</v>
      </c>
      <c r="L107" s="52">
        <v>-1.6E-2</v>
      </c>
      <c r="M107" s="56">
        <f t="shared" si="39"/>
        <v>0</v>
      </c>
      <c r="N107" s="51"/>
      <c r="O107" s="113">
        <f t="shared" si="38"/>
        <v>0</v>
      </c>
      <c r="P107" s="59">
        <v>-0.04</v>
      </c>
      <c r="Q107" s="62">
        <f>Q104+48</f>
        <v>126688.802</v>
      </c>
      <c r="R107" s="59">
        <v>-0.04</v>
      </c>
      <c r="S107" s="48">
        <f t="shared" si="42"/>
        <v>-1.6E-2</v>
      </c>
      <c r="T107" s="51"/>
      <c r="U107" s="48">
        <v>1.6E-2</v>
      </c>
      <c r="V107" s="113">
        <f t="shared" si="40"/>
        <v>8.0000000000000002E-3</v>
      </c>
      <c r="W107" s="113">
        <f t="shared" si="41"/>
        <v>8.0000000000000002E-3</v>
      </c>
      <c r="X107" s="52">
        <v>-0.04</v>
      </c>
      <c r="Y107" s="68"/>
      <c r="Z107" s="8"/>
      <c r="AA107" s="8"/>
    </row>
    <row r="108" spans="9:27" x14ac:dyDescent="0.3">
      <c r="I108" s="67"/>
      <c r="J108" s="52">
        <v>-0.04</v>
      </c>
      <c r="K108" s="52">
        <v>-1.6E-2</v>
      </c>
      <c r="L108" s="52">
        <v>-1.6E-2</v>
      </c>
      <c r="M108" s="56">
        <f t="shared" si="39"/>
        <v>3.7326666666679872E-3</v>
      </c>
      <c r="N108" s="51"/>
      <c r="O108" s="113">
        <f t="shared" si="38"/>
        <v>-3.7326666666679872E-3</v>
      </c>
      <c r="P108" s="59">
        <v>-0.04</v>
      </c>
      <c r="Q108" s="50">
        <v>126700</v>
      </c>
      <c r="R108" s="59">
        <v>-0.04</v>
      </c>
      <c r="S108" s="48">
        <f t="shared" si="42"/>
        <v>-1.6E-2</v>
      </c>
      <c r="T108" s="51"/>
      <c r="U108" s="48">
        <v>1.6E-2</v>
      </c>
      <c r="V108" s="113">
        <f t="shared" si="40"/>
        <v>6.1336666666660065E-3</v>
      </c>
      <c r="W108" s="113">
        <f t="shared" si="41"/>
        <v>6.1336666666660065E-3</v>
      </c>
      <c r="X108" s="52">
        <v>-0.04</v>
      </c>
      <c r="Y108" s="68"/>
      <c r="Z108" s="8"/>
      <c r="AA108" s="8"/>
    </row>
    <row r="109" spans="9:27" x14ac:dyDescent="0.3">
      <c r="I109" s="67"/>
      <c r="J109" s="52">
        <v>-0.04</v>
      </c>
      <c r="K109" s="52">
        <v>-1.6E-2</v>
      </c>
      <c r="L109" s="52">
        <v>-1.6E-2</v>
      </c>
      <c r="M109" s="56">
        <f t="shared" si="39"/>
        <v>1.2066000000001319E-2</v>
      </c>
      <c r="N109" s="51"/>
      <c r="O109" s="113">
        <f t="shared" si="38"/>
        <v>-1.2066000000001319E-2</v>
      </c>
      <c r="P109" s="59">
        <v>-0.04</v>
      </c>
      <c r="Q109" s="50">
        <v>126725</v>
      </c>
      <c r="R109" s="59">
        <v>-0.04</v>
      </c>
      <c r="S109" s="48">
        <f t="shared" si="42"/>
        <v>-1.6E-2</v>
      </c>
      <c r="T109" s="51"/>
      <c r="U109" s="48">
        <v>1.6E-2</v>
      </c>
      <c r="V109" s="113">
        <f t="shared" si="40"/>
        <v>1.9669999999993408E-3</v>
      </c>
      <c r="W109" s="113">
        <f t="shared" si="41"/>
        <v>1.9669999999993408E-3</v>
      </c>
      <c r="X109" s="52">
        <v>-0.04</v>
      </c>
      <c r="Y109" s="68"/>
      <c r="Z109" s="8"/>
      <c r="AA109" s="8"/>
    </row>
    <row r="110" spans="9:27" x14ac:dyDescent="0.3">
      <c r="I110" s="70" t="s">
        <v>84</v>
      </c>
      <c r="J110" s="52">
        <v>-0.04</v>
      </c>
      <c r="K110" s="52">
        <v>-1.6E-2</v>
      </c>
      <c r="L110" s="52">
        <v>-1.6E-2</v>
      </c>
      <c r="M110" s="56">
        <f t="shared" si="39"/>
        <v>1.6E-2</v>
      </c>
      <c r="N110" s="51"/>
      <c r="O110" s="113">
        <f t="shared" si="38"/>
        <v>-1.6E-2</v>
      </c>
      <c r="P110" s="59">
        <v>-0.04</v>
      </c>
      <c r="Q110" s="62">
        <f>Q96+B17</f>
        <v>126736.802</v>
      </c>
      <c r="R110" s="59">
        <v>-0.04</v>
      </c>
      <c r="S110" s="48">
        <f t="shared" si="42"/>
        <v>-1.6E-2</v>
      </c>
      <c r="T110" s="51"/>
      <c r="U110" s="48">
        <v>1.6E-2</v>
      </c>
      <c r="V110" s="113">
        <f t="shared" si="40"/>
        <v>0</v>
      </c>
      <c r="W110" s="113">
        <f t="shared" si="41"/>
        <v>0</v>
      </c>
      <c r="X110" s="52">
        <v>-0.04</v>
      </c>
      <c r="Y110" s="68" t="s">
        <v>81</v>
      </c>
      <c r="Z110" s="8"/>
      <c r="AA110" s="8"/>
    </row>
    <row r="111" spans="9:27" x14ac:dyDescent="0.3">
      <c r="I111" s="67"/>
      <c r="J111" s="52">
        <v>-0.04</v>
      </c>
      <c r="K111" s="52">
        <v>-1.6E-2</v>
      </c>
      <c r="L111" s="52">
        <v>-1.6E-2</v>
      </c>
      <c r="M111" s="48">
        <v>1.6E-2</v>
      </c>
      <c r="N111" s="51"/>
      <c r="O111" s="48">
        <f t="shared" si="38"/>
        <v>-1.6E-2</v>
      </c>
      <c r="P111" s="59">
        <v>-0.04</v>
      </c>
      <c r="Q111" s="50">
        <v>126750</v>
      </c>
      <c r="R111" s="59">
        <v>-0.04</v>
      </c>
      <c r="S111" s="48">
        <f t="shared" ref="S111:S115" si="43">-U111</f>
        <v>-1.6E-2</v>
      </c>
      <c r="T111" s="51"/>
      <c r="U111" s="48">
        <v>1.6E-2</v>
      </c>
      <c r="V111" s="113">
        <f t="shared" si="40"/>
        <v>-2.1996666666673249E-3</v>
      </c>
      <c r="W111" s="113">
        <f t="shared" si="41"/>
        <v>-2.1996666666673249E-3</v>
      </c>
      <c r="X111" s="52">
        <v>-0.04</v>
      </c>
      <c r="Y111" s="68"/>
      <c r="Z111" s="8"/>
      <c r="AA111" s="8"/>
    </row>
    <row r="112" spans="9:27" x14ac:dyDescent="0.3">
      <c r="I112" s="67"/>
      <c r="J112" s="52">
        <v>-0.04</v>
      </c>
      <c r="K112" s="52">
        <v>-1.6E-2</v>
      </c>
      <c r="L112" s="52">
        <v>-1.6E-2</v>
      </c>
      <c r="M112" s="48">
        <v>1.6E-2</v>
      </c>
      <c r="N112" s="51"/>
      <c r="O112" s="48">
        <f t="shared" ref="O112:O113" si="44">-M112</f>
        <v>-1.6E-2</v>
      </c>
      <c r="P112" s="59">
        <v>-0.04</v>
      </c>
      <c r="Q112" s="50">
        <v>126775</v>
      </c>
      <c r="R112" s="59">
        <v>-0.04</v>
      </c>
      <c r="S112" s="48">
        <f t="shared" si="43"/>
        <v>-1.6E-2</v>
      </c>
      <c r="T112" s="51"/>
      <c r="U112" s="48">
        <v>1.6E-2</v>
      </c>
      <c r="V112" s="113">
        <f t="shared" si="40"/>
        <v>-6.3663333333339941E-3</v>
      </c>
      <c r="W112" s="113">
        <f t="shared" si="41"/>
        <v>-6.3663333333339941E-3</v>
      </c>
      <c r="X112" s="52">
        <v>-0.04</v>
      </c>
      <c r="Y112" s="68"/>
      <c r="Z112" s="8"/>
      <c r="AA112" s="8"/>
    </row>
    <row r="113" spans="9:27" x14ac:dyDescent="0.3">
      <c r="I113" s="67"/>
      <c r="J113" s="52">
        <v>-0.04</v>
      </c>
      <c r="K113" s="52">
        <v>-1.6E-2</v>
      </c>
      <c r="L113" s="52">
        <v>-1.6E-2</v>
      </c>
      <c r="M113" s="48">
        <v>1.6E-2</v>
      </c>
      <c r="N113" s="51"/>
      <c r="O113" s="48">
        <f t="shared" si="44"/>
        <v>-1.6E-2</v>
      </c>
      <c r="P113" s="59">
        <v>-0.04</v>
      </c>
      <c r="Q113" s="50">
        <v>126800</v>
      </c>
      <c r="R113" s="59">
        <v>-0.04</v>
      </c>
      <c r="S113" s="48">
        <f t="shared" si="43"/>
        <v>-1.6E-2</v>
      </c>
      <c r="T113" s="51"/>
      <c r="U113" s="48">
        <v>1.6E-2</v>
      </c>
      <c r="V113" s="113">
        <f t="shared" si="40"/>
        <v>-1.053300000000066E-2</v>
      </c>
      <c r="W113" s="113">
        <f t="shared" si="41"/>
        <v>-1.053300000000066E-2</v>
      </c>
      <c r="X113" s="52">
        <v>-0.04</v>
      </c>
      <c r="Y113" s="68"/>
      <c r="Z113" s="8"/>
      <c r="AA113" s="8"/>
    </row>
    <row r="114" spans="9:27" x14ac:dyDescent="0.3">
      <c r="I114" s="67"/>
      <c r="J114" s="52">
        <v>-0.04</v>
      </c>
      <c r="K114" s="52">
        <v>-1.6E-2</v>
      </c>
      <c r="L114" s="52">
        <v>-1.6E-2</v>
      </c>
      <c r="M114" s="48">
        <v>1.6E-2</v>
      </c>
      <c r="N114" s="51"/>
      <c r="O114" s="48">
        <f t="shared" ref="O114:O115" si="45">-M114</f>
        <v>-1.6E-2</v>
      </c>
      <c r="P114" s="59">
        <v>-0.04</v>
      </c>
      <c r="Q114" s="50">
        <v>126825</v>
      </c>
      <c r="R114" s="59">
        <v>-0.04</v>
      </c>
      <c r="S114" s="48">
        <f t="shared" si="43"/>
        <v>-1.6E-2</v>
      </c>
      <c r="T114" s="51"/>
      <c r="U114" s="48">
        <v>1.6E-2</v>
      </c>
      <c r="V114" s="113">
        <f t="shared" si="40"/>
        <v>-1.4699666666667326E-2</v>
      </c>
      <c r="W114" s="113">
        <f t="shared" si="41"/>
        <v>-1.4699666666667326E-2</v>
      </c>
      <c r="X114" s="52">
        <v>-0.04</v>
      </c>
      <c r="Y114" s="68"/>
      <c r="Z114" s="8"/>
      <c r="AA114" s="8"/>
    </row>
    <row r="115" spans="9:27" ht="15" thickBot="1" x14ac:dyDescent="0.35">
      <c r="I115" s="73"/>
      <c r="J115" s="74">
        <v>-0.04</v>
      </c>
      <c r="K115" s="74">
        <v>-1.6E-2</v>
      </c>
      <c r="L115" s="74">
        <v>-1.6E-2</v>
      </c>
      <c r="M115" s="75">
        <v>1.6E-2</v>
      </c>
      <c r="N115" s="76"/>
      <c r="O115" s="75">
        <f t="shared" si="45"/>
        <v>-1.6E-2</v>
      </c>
      <c r="P115" s="77">
        <v>-0.04</v>
      </c>
      <c r="Q115" s="78">
        <f>Q110+B12</f>
        <v>126832.802</v>
      </c>
      <c r="R115" s="77">
        <v>-0.04</v>
      </c>
      <c r="S115" s="75">
        <f t="shared" si="43"/>
        <v>-1.6E-2</v>
      </c>
      <c r="T115" s="76"/>
      <c r="U115" s="75">
        <v>1.6E-2</v>
      </c>
      <c r="V115" s="121">
        <f t="shared" si="40"/>
        <v>-1.6E-2</v>
      </c>
      <c r="W115" s="121">
        <f t="shared" si="41"/>
        <v>-1.6E-2</v>
      </c>
      <c r="X115" s="74">
        <v>-0.04</v>
      </c>
      <c r="Y115" s="80" t="s">
        <v>84</v>
      </c>
      <c r="Z115" s="8"/>
      <c r="AA115" s="8"/>
    </row>
    <row r="116" spans="9:27" x14ac:dyDescent="0.3">
      <c r="I116" s="8"/>
      <c r="J116" s="1"/>
      <c r="K116" s="1"/>
      <c r="L116" s="1"/>
      <c r="M116" s="1"/>
      <c r="N116" s="1"/>
      <c r="O116" s="1"/>
      <c r="P116" s="1"/>
      <c r="Q116" s="42"/>
      <c r="R116" s="1"/>
      <c r="S116" s="1"/>
      <c r="T116" s="1"/>
      <c r="Y116" s="35"/>
      <c r="Z116" s="8"/>
      <c r="AA116" s="8"/>
    </row>
    <row r="117" spans="9:27" x14ac:dyDescent="0.3">
      <c r="I117" s="8"/>
      <c r="J117" s="1"/>
      <c r="K117" s="1"/>
      <c r="L117" s="1"/>
      <c r="M117" s="1"/>
      <c r="N117" s="1"/>
      <c r="O117" s="1"/>
      <c r="P117" s="1"/>
      <c r="Q117" s="42"/>
      <c r="R117" s="1"/>
      <c r="S117" s="1"/>
      <c r="T117" s="1"/>
      <c r="Y117" s="35"/>
      <c r="Z117" s="8"/>
      <c r="AA117" s="8"/>
    </row>
    <row r="118" spans="9:27" x14ac:dyDescent="0.3">
      <c r="I118" s="8"/>
      <c r="J118" s="1"/>
      <c r="K118" s="1"/>
      <c r="L118" s="1"/>
      <c r="M118" s="1"/>
      <c r="N118" s="1"/>
      <c r="O118" s="1"/>
      <c r="P118" s="1"/>
      <c r="Q118" s="42"/>
      <c r="R118" s="1"/>
      <c r="S118" s="1"/>
      <c r="T118" s="1"/>
      <c r="Y118" s="35"/>
      <c r="Z118" s="8"/>
      <c r="AA118" s="8"/>
    </row>
    <row r="119" spans="9:27" x14ac:dyDescent="0.3">
      <c r="I119" s="8"/>
      <c r="J119" s="1"/>
      <c r="K119" s="1"/>
      <c r="L119" s="1"/>
      <c r="M119" s="1"/>
      <c r="N119" s="1"/>
      <c r="O119" s="1"/>
      <c r="P119" s="1"/>
      <c r="Q119" s="42"/>
      <c r="Y119" s="35"/>
      <c r="Z119" s="8"/>
      <c r="AA119" s="8"/>
    </row>
    <row r="120" spans="9:27" x14ac:dyDescent="0.3">
      <c r="I120" s="8"/>
      <c r="J120" s="1"/>
      <c r="K120" s="1"/>
      <c r="L120" s="1"/>
      <c r="M120" s="1"/>
      <c r="N120" s="1"/>
      <c r="O120" s="1"/>
      <c r="P120" s="1"/>
      <c r="Q120" s="42"/>
      <c r="Y120" s="35"/>
      <c r="Z120" s="8"/>
      <c r="AA120" s="8"/>
    </row>
    <row r="121" spans="9:27" x14ac:dyDescent="0.3">
      <c r="I121" s="8"/>
      <c r="J121" s="1"/>
      <c r="K121" s="1"/>
      <c r="L121" s="1"/>
      <c r="M121" s="1"/>
      <c r="N121" s="1"/>
      <c r="O121" s="1"/>
      <c r="P121" s="1"/>
      <c r="Q121" s="42"/>
      <c r="Y121" s="35"/>
      <c r="Z121" s="8"/>
      <c r="AA121" s="8"/>
    </row>
    <row r="122" spans="9:27" x14ac:dyDescent="0.3">
      <c r="I122" s="8"/>
      <c r="J122" s="1"/>
      <c r="K122" s="1"/>
      <c r="L122" s="1"/>
      <c r="M122" s="1"/>
      <c r="N122" s="1"/>
      <c r="O122" s="1"/>
      <c r="P122" s="1"/>
      <c r="Q122" s="42"/>
      <c r="Y122" s="35"/>
      <c r="Z122" s="8"/>
      <c r="AA122" s="8"/>
    </row>
    <row r="123" spans="9:27" x14ac:dyDescent="0.3">
      <c r="I123" s="8"/>
      <c r="J123" s="1"/>
      <c r="K123" s="1"/>
      <c r="L123" s="1"/>
      <c r="M123" s="1"/>
      <c r="N123" s="1"/>
      <c r="O123" s="1"/>
      <c r="P123" s="1"/>
      <c r="Q123" s="42"/>
      <c r="Y123" s="35"/>
      <c r="Z123" s="8"/>
      <c r="AA123" s="8"/>
    </row>
  </sheetData>
  <mergeCells count="10">
    <mergeCell ref="R50:X50"/>
    <mergeCell ref="J50:P50"/>
    <mergeCell ref="J83:X85"/>
    <mergeCell ref="A1:C1"/>
    <mergeCell ref="A11:C11"/>
    <mergeCell ref="A28:C28"/>
    <mergeCell ref="D11:F11"/>
    <mergeCell ref="D28:F28"/>
    <mergeCell ref="D29:F34"/>
    <mergeCell ref="D12:F1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6E1A5-FB60-4B11-B1D6-61681A215F40}">
  <dimension ref="A1:AA123"/>
  <sheetViews>
    <sheetView topLeftCell="Q89" zoomScale="160" zoomScaleNormal="160" workbookViewId="0">
      <selection activeCell="R87" sqref="R87"/>
    </sheetView>
  </sheetViews>
  <sheetFormatPr defaultRowHeight="14.4" x14ac:dyDescent="0.3"/>
  <cols>
    <col min="1" max="2" width="17.77734375" style="8" bestFit="1" customWidth="1"/>
    <col min="3" max="3" width="59.77734375" style="8" customWidth="1"/>
    <col min="4" max="5" width="17.77734375" style="8" customWidth="1"/>
    <col min="6" max="6" width="59.77734375" style="8" customWidth="1"/>
    <col min="7" max="7" width="7.109375" style="8" bestFit="1" customWidth="1"/>
    <col min="8" max="8" width="15.6640625" style="8" customWidth="1"/>
    <col min="9" max="9" width="55.88671875" bestFit="1" customWidth="1"/>
    <col min="10" max="10" width="11.109375" style="40" bestFit="1" customWidth="1"/>
    <col min="11" max="13" width="12.33203125" style="40" bestFit="1" customWidth="1"/>
    <col min="14" max="14" width="19.88671875" style="40" bestFit="1" customWidth="1"/>
    <col min="15" max="15" width="12.44140625" style="40" bestFit="1" customWidth="1"/>
    <col min="16" max="16" width="17.33203125" style="40" bestFit="1" customWidth="1"/>
    <col min="17" max="17" width="23" style="41" bestFit="1" customWidth="1"/>
    <col min="18" max="18" width="17" style="42" bestFit="1" customWidth="1"/>
    <col min="19" max="19" width="19.88671875" style="42" bestFit="1" customWidth="1"/>
    <col min="20" max="20" width="19.88671875" style="42" customWidth="1"/>
    <col min="21" max="21" width="12.44140625" style="1" bestFit="1" customWidth="1"/>
    <col min="22" max="23" width="12.44140625" style="1" customWidth="1"/>
    <col min="24" max="24" width="11.109375" style="1" customWidth="1"/>
    <col min="25" max="25" width="45.77734375" style="45" bestFit="1" customWidth="1"/>
  </cols>
  <sheetData>
    <row r="1" spans="1:27" ht="63" customHeight="1" thickBot="1" x14ac:dyDescent="0.35">
      <c r="A1" s="167" t="s">
        <v>101</v>
      </c>
      <c r="B1" s="168"/>
      <c r="C1" s="168"/>
      <c r="D1" s="81"/>
      <c r="E1" s="81"/>
      <c r="F1" s="81"/>
      <c r="G1" s="81"/>
      <c r="H1" s="81"/>
      <c r="I1" s="81"/>
    </row>
    <row r="2" spans="1:27" x14ac:dyDescent="0.3">
      <c r="A2" s="43" t="s">
        <v>42</v>
      </c>
      <c r="B2" s="90">
        <v>130615.35</v>
      </c>
      <c r="C2" s="82"/>
      <c r="D2"/>
      <c r="E2"/>
      <c r="F2"/>
      <c r="G2"/>
      <c r="H2"/>
    </row>
    <row r="3" spans="1:27" x14ac:dyDescent="0.3">
      <c r="A3" s="44" t="s">
        <v>43</v>
      </c>
      <c r="B3" s="91">
        <v>129361.57</v>
      </c>
      <c r="C3" s="83"/>
      <c r="D3"/>
      <c r="E3"/>
      <c r="F3"/>
      <c r="G3"/>
      <c r="H3"/>
    </row>
    <row r="4" spans="1:27" x14ac:dyDescent="0.3">
      <c r="A4" s="44" t="s">
        <v>44</v>
      </c>
      <c r="B4" s="91">
        <v>131787.99</v>
      </c>
      <c r="C4" s="83"/>
      <c r="D4"/>
      <c r="E4" s="156">
        <f>B4-B3</f>
        <v>2426.4199999999837</v>
      </c>
      <c r="F4"/>
      <c r="G4"/>
      <c r="H4"/>
    </row>
    <row r="5" spans="1:27" ht="16.2" x14ac:dyDescent="0.3">
      <c r="A5" s="44" t="s">
        <v>1</v>
      </c>
      <c r="B5" s="37" t="s">
        <v>47</v>
      </c>
      <c r="C5" s="83" t="s">
        <v>102</v>
      </c>
      <c r="D5"/>
      <c r="E5"/>
      <c r="F5"/>
      <c r="G5"/>
      <c r="H5"/>
    </row>
    <row r="6" spans="1:27" x14ac:dyDescent="0.3">
      <c r="A6" s="44" t="s">
        <v>45</v>
      </c>
      <c r="B6" s="37" t="s">
        <v>6</v>
      </c>
      <c r="C6" s="83"/>
      <c r="D6"/>
      <c r="E6"/>
      <c r="F6"/>
      <c r="G6"/>
      <c r="H6"/>
    </row>
    <row r="7" spans="1:27" x14ac:dyDescent="0.3">
      <c r="A7" s="44" t="s">
        <v>46</v>
      </c>
      <c r="B7" s="37">
        <v>250</v>
      </c>
      <c r="C7" s="83"/>
      <c r="D7"/>
      <c r="E7"/>
      <c r="F7"/>
      <c r="G7"/>
      <c r="H7"/>
    </row>
    <row r="8" spans="1:27" x14ac:dyDescent="0.3">
      <c r="A8" s="44" t="s">
        <v>8</v>
      </c>
      <c r="B8" s="38" t="s">
        <v>52</v>
      </c>
      <c r="C8" s="37" t="s">
        <v>48</v>
      </c>
      <c r="I8" s="8"/>
      <c r="K8" s="1"/>
      <c r="L8" s="1"/>
      <c r="M8" s="1"/>
      <c r="N8" s="1"/>
      <c r="O8" s="1"/>
      <c r="P8" s="1"/>
      <c r="Q8" s="42"/>
      <c r="Y8" s="35"/>
      <c r="Z8" s="8"/>
      <c r="AA8" s="8"/>
    </row>
    <row r="9" spans="1:27" x14ac:dyDescent="0.3">
      <c r="A9" s="44"/>
      <c r="B9" s="39">
        <v>4.5999999999999999E-2</v>
      </c>
      <c r="C9" s="83" t="s">
        <v>49</v>
      </c>
      <c r="D9"/>
      <c r="E9"/>
      <c r="F9"/>
      <c r="G9"/>
      <c r="H9"/>
      <c r="P9" s="1"/>
      <c r="Q9" s="42"/>
      <c r="Y9" s="35"/>
      <c r="Z9" s="8"/>
      <c r="AA9" s="8"/>
    </row>
    <row r="10" spans="1:27" ht="15" thickBot="1" x14ac:dyDescent="0.35">
      <c r="A10" s="44" t="s">
        <v>51</v>
      </c>
      <c r="B10" s="39">
        <v>1.6E-2</v>
      </c>
      <c r="C10" s="83"/>
      <c r="D10"/>
      <c r="E10"/>
      <c r="F10"/>
      <c r="G10"/>
      <c r="H10"/>
      <c r="P10" s="1"/>
      <c r="Q10" s="42"/>
      <c r="Y10" s="35"/>
      <c r="Z10" s="8"/>
      <c r="AA10" s="8"/>
    </row>
    <row r="11" spans="1:27" ht="15" thickBot="1" x14ac:dyDescent="0.35">
      <c r="A11" s="169" t="s">
        <v>93</v>
      </c>
      <c r="B11" s="170"/>
      <c r="C11" s="171"/>
      <c r="D11" s="169" t="s">
        <v>95</v>
      </c>
      <c r="E11" s="170"/>
      <c r="F11" s="171"/>
      <c r="G11"/>
      <c r="H11"/>
      <c r="P11" s="1"/>
      <c r="Q11" s="42"/>
      <c r="Y11" s="35"/>
      <c r="Z11" s="8"/>
      <c r="AA11" s="8"/>
    </row>
    <row r="12" spans="1:27" x14ac:dyDescent="0.3">
      <c r="A12" s="92" t="s">
        <v>50</v>
      </c>
      <c r="B12" s="84">
        <f>(24)*(B10)*(B7)</f>
        <v>96</v>
      </c>
      <c r="C12" s="84" t="s">
        <v>61</v>
      </c>
      <c r="D12" s="175"/>
      <c r="E12" s="176"/>
      <c r="F12" s="177"/>
      <c r="I12" s="8"/>
      <c r="J12" s="1"/>
      <c r="K12" s="1"/>
      <c r="L12" s="1"/>
      <c r="M12" s="1"/>
      <c r="N12" s="1"/>
      <c r="O12" s="1"/>
      <c r="P12" s="1"/>
      <c r="Q12" s="42"/>
      <c r="Y12" s="35"/>
      <c r="Z12" s="8"/>
      <c r="AA12" s="8"/>
    </row>
    <row r="13" spans="1:27" x14ac:dyDescent="0.3">
      <c r="A13" s="92" t="s">
        <v>53</v>
      </c>
      <c r="B13" s="84" t="s">
        <v>54</v>
      </c>
      <c r="C13" s="84" t="s">
        <v>58</v>
      </c>
      <c r="D13" s="178"/>
      <c r="E13" s="179"/>
      <c r="F13" s="180"/>
      <c r="I13" s="8"/>
      <c r="J13" s="1"/>
      <c r="K13" s="1"/>
      <c r="L13" s="1"/>
      <c r="M13" s="1"/>
      <c r="N13" s="1"/>
      <c r="O13" s="1"/>
      <c r="P13" s="1"/>
      <c r="Q13" s="42"/>
      <c r="Y13" s="35"/>
      <c r="Z13" s="8"/>
      <c r="AA13" s="8"/>
    </row>
    <row r="14" spans="1:27" x14ac:dyDescent="0.3">
      <c r="A14" s="92" t="s">
        <v>55</v>
      </c>
      <c r="B14" s="84">
        <f>(24)*(B10)*(B7)</f>
        <v>96</v>
      </c>
      <c r="C14" s="84"/>
      <c r="D14" s="178"/>
      <c r="E14" s="179"/>
      <c r="F14" s="180"/>
      <c r="I14" s="8"/>
      <c r="J14" s="1"/>
      <c r="K14" s="1"/>
      <c r="L14" s="1"/>
      <c r="M14" s="1"/>
      <c r="N14" s="1"/>
      <c r="O14" s="1"/>
      <c r="P14" s="1"/>
      <c r="Q14" s="42"/>
      <c r="Y14" s="35"/>
      <c r="Z14" s="8"/>
      <c r="AA14" s="8"/>
    </row>
    <row r="15" spans="1:27" x14ac:dyDescent="0.3">
      <c r="A15" s="92" t="s">
        <v>56</v>
      </c>
      <c r="B15" s="84">
        <f>(36)*(B9-B10)*(B7)</f>
        <v>270</v>
      </c>
      <c r="C15" s="84" t="s">
        <v>60</v>
      </c>
      <c r="D15" s="178"/>
      <c r="E15" s="179"/>
      <c r="F15" s="180"/>
      <c r="I15" s="8"/>
      <c r="J15" s="1"/>
      <c r="K15" s="1"/>
      <c r="L15" s="1"/>
      <c r="M15" s="1"/>
      <c r="N15" s="1"/>
      <c r="O15" s="1"/>
      <c r="P15" s="1"/>
      <c r="Q15" s="42"/>
      <c r="Y15" s="35"/>
      <c r="Z15" s="8"/>
      <c r="AA15" s="8"/>
    </row>
    <row r="16" spans="1:27" x14ac:dyDescent="0.3">
      <c r="A16" s="92" t="s">
        <v>53</v>
      </c>
      <c r="B16" s="84">
        <f>B14+B15</f>
        <v>366</v>
      </c>
      <c r="C16" s="84"/>
      <c r="D16" s="178"/>
      <c r="E16" s="179"/>
      <c r="F16" s="180"/>
      <c r="I16" s="8"/>
      <c r="J16" s="1"/>
      <c r="K16" s="1"/>
      <c r="L16" s="1"/>
      <c r="M16" s="1"/>
      <c r="N16" s="1"/>
      <c r="O16" s="1"/>
      <c r="P16" s="1"/>
      <c r="Q16" s="42"/>
      <c r="Y16" s="35"/>
      <c r="Z16" s="8"/>
      <c r="AA16" s="8"/>
    </row>
    <row r="17" spans="1:27" x14ac:dyDescent="0.3">
      <c r="A17" s="92" t="s">
        <v>62</v>
      </c>
      <c r="B17" s="84">
        <f>(2/3)*(B16)</f>
        <v>244</v>
      </c>
      <c r="C17" s="84"/>
      <c r="D17" s="178"/>
      <c r="E17" s="179"/>
      <c r="F17" s="180"/>
      <c r="I17" s="8"/>
      <c r="J17" s="1"/>
      <c r="K17" s="1"/>
      <c r="L17" s="1"/>
      <c r="M17" s="1"/>
      <c r="N17" s="1"/>
      <c r="O17" s="1"/>
      <c r="P17" s="1"/>
      <c r="Q17" s="42"/>
      <c r="Y17" s="35"/>
      <c r="Z17" s="8"/>
      <c r="AA17" s="8"/>
    </row>
    <row r="18" spans="1:27" x14ac:dyDescent="0.3">
      <c r="A18" s="92" t="s">
        <v>86</v>
      </c>
      <c r="B18" s="84">
        <f>(1/3)*(B16)</f>
        <v>122</v>
      </c>
      <c r="C18" s="84"/>
      <c r="D18" s="178"/>
      <c r="E18" s="179"/>
      <c r="F18" s="180"/>
      <c r="I18" s="8"/>
      <c r="J18" s="1"/>
      <c r="K18" s="1"/>
      <c r="L18" s="1"/>
      <c r="M18" s="1"/>
      <c r="N18" s="1"/>
      <c r="O18" s="1"/>
      <c r="P18" s="1"/>
      <c r="Q18" s="42"/>
      <c r="Y18" s="35"/>
      <c r="Z18" s="8"/>
      <c r="AA18" s="8"/>
    </row>
    <row r="19" spans="1:27" x14ac:dyDescent="0.3">
      <c r="A19" s="98"/>
      <c r="B19" s="99"/>
      <c r="C19" s="99"/>
      <c r="D19" s="181"/>
      <c r="E19" s="182"/>
      <c r="F19" s="183"/>
      <c r="I19" s="8"/>
      <c r="J19" s="1"/>
      <c r="K19" s="1"/>
      <c r="L19" s="1"/>
      <c r="M19" s="1"/>
      <c r="N19" s="1"/>
      <c r="O19" s="1"/>
      <c r="P19" s="1"/>
      <c r="Q19" s="42"/>
      <c r="Y19" s="35"/>
      <c r="Z19" s="8"/>
      <c r="AA19" s="8"/>
    </row>
    <row r="20" spans="1:27" x14ac:dyDescent="0.3">
      <c r="A20" s="92" t="s">
        <v>88</v>
      </c>
      <c r="B20" s="94">
        <f>(B21)-B12</f>
        <v>129021.57</v>
      </c>
      <c r="C20" s="84" t="s">
        <v>89</v>
      </c>
      <c r="D20" s="92" t="s">
        <v>90</v>
      </c>
      <c r="E20" s="94">
        <f>E22-(B18)</f>
        <v>131665.99</v>
      </c>
      <c r="F20" s="84" t="s">
        <v>98</v>
      </c>
      <c r="I20" s="8"/>
      <c r="J20" s="1"/>
      <c r="K20" s="1"/>
      <c r="L20" s="1"/>
      <c r="M20" s="1"/>
      <c r="N20" s="1"/>
      <c r="O20" s="1"/>
      <c r="P20" s="1"/>
      <c r="Q20" s="42"/>
      <c r="Y20" s="35"/>
      <c r="Z20" s="8"/>
      <c r="AA20" s="8"/>
    </row>
    <row r="21" spans="1:27" x14ac:dyDescent="0.3">
      <c r="A21" s="92"/>
      <c r="B21" s="94">
        <f>(B25)-(B17)</f>
        <v>129117.57</v>
      </c>
      <c r="C21" s="84" t="s">
        <v>96</v>
      </c>
      <c r="D21" s="92"/>
      <c r="E21" s="94">
        <f>E20+((B9-0.04)*(36)*(B7))</f>
        <v>131719.99</v>
      </c>
      <c r="F21" s="97">
        <v>0.04</v>
      </c>
      <c r="I21" s="8"/>
      <c r="J21" s="1"/>
      <c r="K21" s="1"/>
      <c r="L21" s="1"/>
      <c r="M21" s="1"/>
      <c r="N21" s="1"/>
      <c r="O21" s="1"/>
      <c r="P21" s="1"/>
      <c r="Q21" s="42"/>
      <c r="Y21" s="35"/>
      <c r="Z21" s="8"/>
      <c r="AA21" s="8"/>
    </row>
    <row r="22" spans="1:27" x14ac:dyDescent="0.3">
      <c r="A22" s="92"/>
      <c r="B22" s="94">
        <f>B21+((24)*(B10-0.008)*(B7))</f>
        <v>129165.57</v>
      </c>
      <c r="C22" s="96">
        <v>8.0000000000000002E-3</v>
      </c>
      <c r="D22" s="92" t="s">
        <v>44</v>
      </c>
      <c r="E22" s="94">
        <v>131787.99</v>
      </c>
      <c r="F22" s="96" t="str">
        <f>D22</f>
        <v>PT</v>
      </c>
      <c r="I22" s="8"/>
      <c r="J22" s="1"/>
      <c r="K22" s="1"/>
      <c r="L22" s="1"/>
      <c r="M22" s="1"/>
      <c r="N22" s="1"/>
      <c r="O22" s="1"/>
      <c r="P22" s="1"/>
      <c r="Q22" s="42"/>
      <c r="Y22" s="35"/>
      <c r="Z22" s="8"/>
      <c r="AA22" s="8"/>
    </row>
    <row r="23" spans="1:27" x14ac:dyDescent="0.3">
      <c r="A23" s="92"/>
      <c r="B23" s="94">
        <f>B21+B12</f>
        <v>129213.57</v>
      </c>
      <c r="C23" s="96">
        <v>1.6E-2</v>
      </c>
      <c r="D23" s="92"/>
      <c r="E23" s="94">
        <f>E20+((B9-0.03)*(36)*(B7))</f>
        <v>131809.99</v>
      </c>
      <c r="F23" s="96">
        <v>0.03</v>
      </c>
      <c r="I23" s="8"/>
      <c r="J23" s="1"/>
      <c r="K23" s="1"/>
      <c r="L23" s="1"/>
      <c r="M23" s="1"/>
      <c r="N23" s="1"/>
      <c r="O23" s="1"/>
      <c r="P23" s="1"/>
      <c r="Q23" s="42"/>
      <c r="Y23" s="35"/>
      <c r="Z23" s="8"/>
      <c r="AA23" s="8"/>
    </row>
    <row r="24" spans="1:27" x14ac:dyDescent="0.3">
      <c r="A24" s="92"/>
      <c r="B24" s="94">
        <f>B23+((36)*(0.03-B10)*(B7))</f>
        <v>129339.57</v>
      </c>
      <c r="C24" s="96">
        <v>0.03</v>
      </c>
      <c r="D24" s="92"/>
      <c r="E24" s="94">
        <f>E20+((B9-B10)*(36)*(B7))</f>
        <v>131935.99</v>
      </c>
      <c r="F24" s="96">
        <v>1.6E-2</v>
      </c>
      <c r="I24" s="8"/>
      <c r="J24" s="1"/>
      <c r="K24" s="1"/>
      <c r="L24" s="1"/>
      <c r="M24" s="1"/>
      <c r="N24" s="1"/>
      <c r="O24" s="1"/>
      <c r="P24" s="1"/>
      <c r="Q24" s="42"/>
      <c r="Y24" s="35"/>
      <c r="Z24" s="8"/>
      <c r="AA24" s="8"/>
    </row>
    <row r="25" spans="1:27" x14ac:dyDescent="0.3">
      <c r="A25" s="92" t="s">
        <v>43</v>
      </c>
      <c r="B25" s="94">
        <f>B3</f>
        <v>129361.57</v>
      </c>
      <c r="C25" s="84" t="str">
        <f>A25</f>
        <v>PC</v>
      </c>
      <c r="D25" s="92"/>
      <c r="E25" s="94">
        <f>E24+((B10-0.008)*(24)*(B7))</f>
        <v>131983.99</v>
      </c>
      <c r="F25" s="84">
        <v>0.8</v>
      </c>
      <c r="G25" s="100"/>
      <c r="H25" s="100"/>
      <c r="I25" s="8"/>
      <c r="J25" s="1"/>
      <c r="K25" s="1"/>
      <c r="L25" s="1"/>
      <c r="M25" s="1"/>
      <c r="N25" s="1"/>
      <c r="O25" s="1"/>
      <c r="P25" s="1"/>
      <c r="Q25" s="42"/>
      <c r="Y25" s="35"/>
      <c r="Z25" s="8"/>
      <c r="AA25" s="8"/>
    </row>
    <row r="26" spans="1:27" x14ac:dyDescent="0.3">
      <c r="A26" s="92"/>
      <c r="B26" s="94">
        <f>B23+((36)*(0.04-B10)*(B7))</f>
        <v>129429.57</v>
      </c>
      <c r="C26" s="97">
        <v>0.04</v>
      </c>
      <c r="D26" s="92"/>
      <c r="E26" s="94">
        <f>E22+B17</f>
        <v>132031.99</v>
      </c>
      <c r="F26" s="97" t="s">
        <v>99</v>
      </c>
      <c r="G26" s="100">
        <f>E26-E25</f>
        <v>48</v>
      </c>
      <c r="H26" s="100" t="s">
        <v>100</v>
      </c>
      <c r="I26" s="8"/>
      <c r="J26" s="1"/>
      <c r="K26" s="1"/>
      <c r="L26" s="1"/>
      <c r="M26" s="1"/>
      <c r="N26" s="1"/>
      <c r="O26" s="1"/>
      <c r="P26" s="1"/>
      <c r="Q26" s="42"/>
      <c r="Y26" s="35"/>
      <c r="Z26" s="8"/>
      <c r="AA26" s="8"/>
    </row>
    <row r="27" spans="1:27" ht="15" thickBot="1" x14ac:dyDescent="0.35">
      <c r="A27" s="101" t="s">
        <v>90</v>
      </c>
      <c r="B27" s="102">
        <f>B25+B18</f>
        <v>129483.57</v>
      </c>
      <c r="C27" s="103" t="s">
        <v>97</v>
      </c>
      <c r="D27" s="101" t="s">
        <v>88</v>
      </c>
      <c r="E27" s="102">
        <f>E26+B14</f>
        <v>132127.99</v>
      </c>
      <c r="F27" s="103" t="s">
        <v>84</v>
      </c>
      <c r="G27" s="100">
        <f>E27-E20</f>
        <v>462</v>
      </c>
      <c r="H27" s="8" t="s">
        <v>100</v>
      </c>
      <c r="I27" s="8"/>
      <c r="J27" s="1"/>
      <c r="K27" s="1"/>
      <c r="L27" s="1"/>
      <c r="M27" s="1"/>
      <c r="N27" s="1"/>
      <c r="O27" s="1"/>
      <c r="P27" s="1"/>
      <c r="Q27" s="42"/>
      <c r="Y27" s="35"/>
      <c r="Z27" s="8"/>
      <c r="AA27" s="8"/>
    </row>
    <row r="28" spans="1:27" ht="15" thickBot="1" x14ac:dyDescent="0.35">
      <c r="A28" s="172" t="s">
        <v>92</v>
      </c>
      <c r="B28" s="173"/>
      <c r="C28" s="174"/>
      <c r="D28" s="172" t="s">
        <v>94</v>
      </c>
      <c r="E28" s="173"/>
      <c r="F28" s="174"/>
      <c r="I28" s="8"/>
      <c r="J28" s="1"/>
      <c r="K28" s="1"/>
      <c r="L28" s="1"/>
      <c r="M28" s="1"/>
      <c r="N28" s="1"/>
      <c r="O28" s="1"/>
      <c r="P28" s="1"/>
      <c r="Q28" s="42"/>
      <c r="Y28" s="35"/>
      <c r="Z28" s="8"/>
      <c r="AA28" s="8"/>
    </row>
    <row r="29" spans="1:27" x14ac:dyDescent="0.3">
      <c r="A29" s="104" t="s">
        <v>50</v>
      </c>
      <c r="B29" s="89">
        <f>(12)*(B10)*(B7)</f>
        <v>48</v>
      </c>
      <c r="C29" s="89" t="s">
        <v>85</v>
      </c>
      <c r="D29" s="175"/>
      <c r="E29" s="176"/>
      <c r="F29" s="177"/>
      <c r="I29" s="8"/>
      <c r="J29" s="1"/>
      <c r="K29" s="1"/>
      <c r="L29" s="1"/>
      <c r="M29" s="1"/>
      <c r="N29" s="1"/>
      <c r="O29" s="1"/>
      <c r="P29" s="1"/>
      <c r="Q29" s="42"/>
      <c r="Y29" s="35"/>
      <c r="Z29" s="8"/>
      <c r="AA29" s="8"/>
    </row>
    <row r="30" spans="1:27" x14ac:dyDescent="0.3">
      <c r="A30" s="92" t="s">
        <v>53</v>
      </c>
      <c r="B30" s="84" t="s">
        <v>54</v>
      </c>
      <c r="C30" s="84" t="s">
        <v>58</v>
      </c>
      <c r="D30" s="178"/>
      <c r="E30" s="179"/>
      <c r="F30" s="180"/>
      <c r="I30" s="8"/>
      <c r="J30" s="1"/>
      <c r="K30" s="1"/>
      <c r="L30" s="1"/>
      <c r="M30" s="1"/>
      <c r="N30" s="1"/>
      <c r="O30" s="1"/>
      <c r="P30" s="1"/>
      <c r="Q30" s="42"/>
      <c r="Y30" s="35"/>
      <c r="Z30" s="8"/>
      <c r="AA30" s="8"/>
    </row>
    <row r="31" spans="1:27" x14ac:dyDescent="0.3">
      <c r="A31" s="92" t="s">
        <v>55</v>
      </c>
      <c r="B31" s="84">
        <f>(12)*(B10)*(B7)</f>
        <v>48</v>
      </c>
      <c r="C31" s="84"/>
      <c r="D31" s="178"/>
      <c r="E31" s="179"/>
      <c r="F31" s="180"/>
      <c r="I31" s="8"/>
      <c r="J31" s="1"/>
      <c r="K31" s="1"/>
      <c r="L31" s="1"/>
      <c r="M31" s="1"/>
      <c r="N31" s="1"/>
      <c r="O31" s="1"/>
      <c r="P31" s="1"/>
      <c r="Q31" s="42"/>
      <c r="Y31" s="35"/>
      <c r="Z31" s="8"/>
      <c r="AA31" s="8"/>
    </row>
    <row r="32" spans="1:27" x14ac:dyDescent="0.3">
      <c r="A32" s="92" t="s">
        <v>56</v>
      </c>
      <c r="B32" s="84">
        <f>(36)*(B9-B10)*(B7)</f>
        <v>270</v>
      </c>
      <c r="C32" s="84" t="s">
        <v>60</v>
      </c>
      <c r="D32" s="178"/>
      <c r="E32" s="179"/>
      <c r="F32" s="180"/>
      <c r="I32" s="8"/>
      <c r="J32" s="1"/>
      <c r="K32" s="1"/>
      <c r="L32" s="1"/>
      <c r="M32" s="1"/>
      <c r="N32" s="1"/>
      <c r="O32" s="1"/>
      <c r="P32" s="1"/>
      <c r="Q32" s="42"/>
      <c r="Y32" s="35"/>
      <c r="Z32" s="8"/>
      <c r="AA32" s="8"/>
    </row>
    <row r="33" spans="1:27" x14ac:dyDescent="0.3">
      <c r="A33" s="92" t="s">
        <v>53</v>
      </c>
      <c r="B33" s="84">
        <f>B31+B32</f>
        <v>318</v>
      </c>
      <c r="C33" s="84"/>
      <c r="D33" s="178"/>
      <c r="E33" s="179"/>
      <c r="F33" s="180"/>
      <c r="I33" s="8"/>
      <c r="J33" s="1"/>
      <c r="K33" s="1"/>
      <c r="L33" s="1"/>
      <c r="M33" s="1"/>
      <c r="N33" s="1"/>
      <c r="O33" s="1"/>
      <c r="P33" s="1"/>
      <c r="Q33" s="42"/>
      <c r="Y33" s="35"/>
      <c r="Z33" s="8"/>
      <c r="AA33" s="8"/>
    </row>
    <row r="34" spans="1:27" ht="15" thickBot="1" x14ac:dyDescent="0.35">
      <c r="A34" s="106"/>
      <c r="B34" s="107"/>
      <c r="C34" s="107"/>
      <c r="D34" s="178"/>
      <c r="E34" s="179"/>
      <c r="F34" s="180"/>
      <c r="I34" s="8"/>
      <c r="J34" s="1"/>
      <c r="K34" s="1"/>
      <c r="L34" s="1"/>
      <c r="M34" s="1"/>
      <c r="N34" s="1"/>
      <c r="O34" s="1"/>
      <c r="P34" s="1"/>
      <c r="Q34" s="42"/>
      <c r="Y34" s="35"/>
      <c r="Z34" s="8"/>
      <c r="AA34" s="8"/>
    </row>
    <row r="35" spans="1:27" x14ac:dyDescent="0.3">
      <c r="A35" s="104" t="s">
        <v>88</v>
      </c>
      <c r="B35" s="108">
        <f>B36-B29</f>
        <v>129117.57</v>
      </c>
      <c r="C35" s="89" t="s">
        <v>89</v>
      </c>
      <c r="D35" s="86" t="s">
        <v>90</v>
      </c>
      <c r="E35" s="108">
        <v>131665.99</v>
      </c>
      <c r="F35" s="89" t="s">
        <v>98</v>
      </c>
      <c r="I35" s="8"/>
      <c r="J35" s="1"/>
      <c r="K35" s="1"/>
      <c r="L35" s="1"/>
      <c r="M35" s="1"/>
      <c r="N35" s="1"/>
      <c r="O35" s="1"/>
      <c r="P35" s="1"/>
      <c r="Q35" s="42"/>
      <c r="Y35" s="35"/>
      <c r="Z35" s="8"/>
      <c r="AA35" s="8"/>
    </row>
    <row r="36" spans="1:27" x14ac:dyDescent="0.3">
      <c r="A36" s="92" t="s">
        <v>87</v>
      </c>
      <c r="B36" s="94">
        <f>B22</f>
        <v>129165.57</v>
      </c>
      <c r="C36" s="84" t="s">
        <v>91</v>
      </c>
      <c r="D36" s="87"/>
      <c r="E36" s="94">
        <f>E35+((B9-0.04)*(36)*(B7))</f>
        <v>131719.99</v>
      </c>
      <c r="F36" s="97">
        <v>0.04</v>
      </c>
      <c r="I36" s="8"/>
      <c r="J36" s="1"/>
      <c r="K36" s="1"/>
      <c r="L36" s="1"/>
      <c r="M36" s="1"/>
      <c r="N36" s="1"/>
      <c r="O36" s="1"/>
      <c r="P36" s="1"/>
      <c r="Q36" s="42"/>
      <c r="Y36" s="35"/>
      <c r="Z36" s="8"/>
      <c r="AA36" s="8"/>
    </row>
    <row r="37" spans="1:27" x14ac:dyDescent="0.3">
      <c r="A37" s="92"/>
      <c r="B37" s="94">
        <f>B36+B31</f>
        <v>129213.57</v>
      </c>
      <c r="C37" s="96">
        <v>1.6E-2</v>
      </c>
      <c r="D37" s="87"/>
      <c r="E37" s="94">
        <f>E35+((B9-0.03)*(36)*(B7))</f>
        <v>131809.99</v>
      </c>
      <c r="F37" s="96">
        <v>0.03</v>
      </c>
      <c r="I37" s="8"/>
      <c r="J37" s="1"/>
      <c r="K37" s="1"/>
      <c r="L37" s="1"/>
      <c r="M37" s="1"/>
      <c r="N37" s="1"/>
      <c r="O37" s="1"/>
      <c r="P37" s="1"/>
      <c r="Q37" s="42"/>
      <c r="Y37" s="35"/>
      <c r="Z37" s="8"/>
      <c r="AA37" s="8"/>
    </row>
    <row r="38" spans="1:27" x14ac:dyDescent="0.3">
      <c r="A38" s="92"/>
      <c r="B38" s="94">
        <f>B37+((0.03-B10)*(36)*(B7))</f>
        <v>129339.57</v>
      </c>
      <c r="C38" s="96">
        <v>0.03</v>
      </c>
      <c r="D38" s="87"/>
      <c r="E38" s="94">
        <f>E35+((B9-B10)*(36)*(B7))</f>
        <v>131935.99</v>
      </c>
      <c r="F38" s="96">
        <v>1.6E-2</v>
      </c>
      <c r="I38" s="8"/>
      <c r="J38" s="1"/>
      <c r="K38" s="1"/>
      <c r="L38" s="1"/>
      <c r="M38" s="1"/>
      <c r="N38" s="1"/>
      <c r="O38" s="1"/>
      <c r="P38" s="1"/>
      <c r="Q38" s="42"/>
      <c r="Y38" s="35"/>
      <c r="Z38" s="8"/>
      <c r="AA38" s="8"/>
    </row>
    <row r="39" spans="1:27" x14ac:dyDescent="0.3">
      <c r="A39" s="92"/>
      <c r="B39" s="94">
        <f>B37+((0.04-B10)*(36)*(B7))</f>
        <v>129429.57</v>
      </c>
      <c r="C39" s="96">
        <v>0.04</v>
      </c>
      <c r="D39" s="87"/>
      <c r="E39" s="94">
        <f>E38+((B10)*(12)*(B7))</f>
        <v>131983.99</v>
      </c>
      <c r="F39" s="96" t="s">
        <v>99</v>
      </c>
      <c r="I39" s="8"/>
      <c r="J39" s="1"/>
      <c r="K39" s="1"/>
      <c r="L39" s="1"/>
      <c r="M39" s="1"/>
      <c r="N39" s="1"/>
      <c r="O39" s="1"/>
      <c r="P39" s="1"/>
      <c r="Q39" s="42"/>
      <c r="Y39" s="35"/>
      <c r="Z39" s="8"/>
      <c r="AA39" s="8"/>
    </row>
    <row r="40" spans="1:27" ht="15" thickBot="1" x14ac:dyDescent="0.35">
      <c r="A40" s="93" t="s">
        <v>90</v>
      </c>
      <c r="B40" s="95">
        <f>B36+B33</f>
        <v>129483.57</v>
      </c>
      <c r="C40" s="105">
        <v>4.5999999999999999E-2</v>
      </c>
      <c r="D40" s="88"/>
      <c r="E40" s="95">
        <f>E38+((B10+B10)*(12)*(B7))</f>
        <v>132031.99</v>
      </c>
      <c r="F40" s="85" t="s">
        <v>84</v>
      </c>
      <c r="I40" s="8"/>
      <c r="J40" s="1"/>
      <c r="K40" s="1"/>
      <c r="L40" s="1"/>
      <c r="M40" s="1"/>
      <c r="N40" s="1"/>
      <c r="O40" s="1"/>
      <c r="P40" s="1"/>
      <c r="Q40" s="42"/>
      <c r="Y40" s="35"/>
      <c r="Z40" s="8"/>
      <c r="AA40" s="8"/>
    </row>
    <row r="41" spans="1:27" x14ac:dyDescent="0.3">
      <c r="I41" s="8"/>
      <c r="J41" s="1"/>
      <c r="K41" s="1"/>
      <c r="L41" s="1"/>
      <c r="M41" s="1"/>
      <c r="N41" s="1"/>
      <c r="O41" s="1"/>
      <c r="P41" s="1"/>
      <c r="Q41" s="42"/>
      <c r="Y41" s="35"/>
      <c r="Z41" s="8"/>
      <c r="AA41" s="8"/>
    </row>
    <row r="42" spans="1:27" x14ac:dyDescent="0.3">
      <c r="I42" s="8"/>
      <c r="J42" s="1"/>
      <c r="K42" s="1"/>
      <c r="L42" s="1"/>
      <c r="M42" s="1"/>
      <c r="N42" s="1"/>
      <c r="O42" s="1"/>
      <c r="P42" s="1"/>
      <c r="Q42" s="42"/>
      <c r="Y42" s="35"/>
      <c r="Z42" s="8"/>
      <c r="AA42" s="8"/>
    </row>
    <row r="43" spans="1:27" x14ac:dyDescent="0.3">
      <c r="I43" s="8"/>
      <c r="J43" s="1"/>
      <c r="K43" s="1"/>
      <c r="L43" s="1"/>
      <c r="M43" s="1"/>
      <c r="N43" s="1"/>
      <c r="O43" s="1"/>
      <c r="P43" s="1"/>
      <c r="Q43" s="42"/>
      <c r="Y43" s="35"/>
      <c r="Z43" s="8"/>
      <c r="AA43" s="8"/>
    </row>
    <row r="44" spans="1:27" x14ac:dyDescent="0.3">
      <c r="I44" s="8"/>
      <c r="J44" s="1"/>
      <c r="K44" s="1"/>
      <c r="L44" s="1"/>
      <c r="M44" s="1"/>
      <c r="N44" s="1"/>
      <c r="O44" s="1"/>
      <c r="P44" s="1"/>
      <c r="Q44" s="42"/>
      <c r="Y44" s="35"/>
      <c r="Z44" s="8"/>
      <c r="AA44" s="8"/>
    </row>
    <row r="45" spans="1:27" x14ac:dyDescent="0.3">
      <c r="I45" s="8"/>
      <c r="J45" s="1"/>
      <c r="K45" s="1"/>
      <c r="L45" s="1"/>
      <c r="M45" s="1"/>
      <c r="N45" s="1"/>
      <c r="O45" s="1"/>
      <c r="P45" s="1"/>
      <c r="Q45" s="42"/>
      <c r="Y45" s="35"/>
      <c r="Z45" s="8"/>
      <c r="AA45" s="8"/>
    </row>
    <row r="46" spans="1:27" x14ac:dyDescent="0.3">
      <c r="I46" s="8"/>
      <c r="J46" s="1"/>
      <c r="K46" s="1"/>
      <c r="L46" s="1"/>
      <c r="M46" s="1"/>
      <c r="N46" s="1"/>
      <c r="O46" s="1"/>
      <c r="P46" s="1"/>
      <c r="Q46" s="42"/>
      <c r="Y46" s="35"/>
      <c r="Z46" s="8"/>
      <c r="AA46" s="8"/>
    </row>
    <row r="47" spans="1:27" x14ac:dyDescent="0.3">
      <c r="I47" s="8"/>
      <c r="J47" s="1"/>
      <c r="K47" s="1"/>
      <c r="L47" s="1"/>
      <c r="M47" s="1"/>
      <c r="N47" s="1"/>
      <c r="O47" s="1"/>
      <c r="P47" s="1"/>
      <c r="Q47" s="42"/>
      <c r="Y47" s="35"/>
      <c r="Z47" s="8"/>
      <c r="AA47" s="8"/>
    </row>
    <row r="48" spans="1:27" ht="15" thickBot="1" x14ac:dyDescent="0.35">
      <c r="I48" s="8"/>
      <c r="J48" s="1"/>
      <c r="K48" s="1"/>
      <c r="L48" s="1"/>
      <c r="M48" s="1"/>
      <c r="N48" s="1"/>
      <c r="O48" s="1"/>
      <c r="P48" s="1"/>
      <c r="Q48" s="42"/>
      <c r="Y48" s="35"/>
      <c r="Z48" s="8"/>
      <c r="AA48" s="8"/>
    </row>
    <row r="49" spans="1:27" x14ac:dyDescent="0.3">
      <c r="I49" s="63"/>
      <c r="J49" s="64"/>
      <c r="K49" s="64"/>
      <c r="L49" s="64"/>
      <c r="M49" s="64"/>
      <c r="N49" s="64"/>
      <c r="O49" s="64"/>
      <c r="P49" s="64"/>
      <c r="Q49" s="65"/>
      <c r="R49" s="65"/>
      <c r="S49" s="65"/>
      <c r="T49" s="65"/>
      <c r="U49" s="64"/>
      <c r="V49" s="64"/>
      <c r="W49" s="64"/>
      <c r="X49" s="64"/>
      <c r="Y49" s="66"/>
      <c r="Z49" s="8"/>
      <c r="AA49" s="8"/>
    </row>
    <row r="50" spans="1:27" x14ac:dyDescent="0.3">
      <c r="A50" s="35"/>
      <c r="I50" s="67"/>
      <c r="J50" s="165" t="s">
        <v>72</v>
      </c>
      <c r="K50" s="165"/>
      <c r="L50" s="165"/>
      <c r="M50" s="165"/>
      <c r="N50" s="165"/>
      <c r="O50" s="165"/>
      <c r="P50" s="165"/>
      <c r="Q50" s="49"/>
      <c r="R50" s="164" t="s">
        <v>71</v>
      </c>
      <c r="S50" s="164"/>
      <c r="T50" s="164"/>
      <c r="U50" s="164"/>
      <c r="V50" s="164"/>
      <c r="W50" s="164"/>
      <c r="X50" s="164"/>
      <c r="Y50" s="68"/>
      <c r="Z50" s="8"/>
      <c r="AA50" s="8"/>
    </row>
    <row r="51" spans="1:27" x14ac:dyDescent="0.3">
      <c r="I51" s="67"/>
      <c r="J51" s="48"/>
      <c r="K51" s="48"/>
      <c r="L51" s="48"/>
      <c r="M51" s="48"/>
      <c r="N51" s="48"/>
      <c r="O51" s="48"/>
      <c r="P51" s="48"/>
      <c r="Q51" s="49"/>
      <c r="R51" s="49"/>
      <c r="S51" s="49"/>
      <c r="T51" s="49"/>
      <c r="U51" s="48"/>
      <c r="V51" s="48"/>
      <c r="W51" s="48"/>
      <c r="X51" s="48"/>
      <c r="Y51" s="68"/>
      <c r="Z51" s="8"/>
      <c r="AA51" s="8"/>
    </row>
    <row r="52" spans="1:27" x14ac:dyDescent="0.3">
      <c r="I52" s="67"/>
      <c r="J52" s="48" t="s">
        <v>64</v>
      </c>
      <c r="K52" s="48" t="s">
        <v>69</v>
      </c>
      <c r="L52" s="48" t="s">
        <v>68</v>
      </c>
      <c r="M52" s="48" t="s">
        <v>66</v>
      </c>
      <c r="N52" s="50" t="s">
        <v>70</v>
      </c>
      <c r="O52" s="48" t="s">
        <v>65</v>
      </c>
      <c r="P52" s="49" t="s">
        <v>67</v>
      </c>
      <c r="Q52" s="50" t="s">
        <v>59</v>
      </c>
      <c r="R52" s="49" t="s">
        <v>67</v>
      </c>
      <c r="S52" s="48" t="s">
        <v>65</v>
      </c>
      <c r="T52" s="50" t="s">
        <v>70</v>
      </c>
      <c r="U52" s="48" t="s">
        <v>66</v>
      </c>
      <c r="V52" s="48" t="s">
        <v>68</v>
      </c>
      <c r="W52" s="48" t="s">
        <v>69</v>
      </c>
      <c r="X52" s="48" t="s">
        <v>64</v>
      </c>
      <c r="Y52" s="68"/>
      <c r="Z52" s="8"/>
      <c r="AA52" s="8"/>
    </row>
    <row r="53" spans="1:27" x14ac:dyDescent="0.3">
      <c r="I53" s="70" t="s">
        <v>78</v>
      </c>
      <c r="J53" s="48">
        <v>-0.04</v>
      </c>
      <c r="K53" s="112">
        <v>-1.6E-2</v>
      </c>
      <c r="L53" s="112">
        <v>-1.6E-2</v>
      </c>
      <c r="M53" s="48">
        <v>1.6E-2</v>
      </c>
      <c r="N53" s="51"/>
      <c r="O53" s="48">
        <f>-M53</f>
        <v>-1.6E-2</v>
      </c>
      <c r="P53" s="52">
        <v>-0.04</v>
      </c>
      <c r="Q53" s="53">
        <f>(Q58)-B12</f>
        <v>129021.57</v>
      </c>
      <c r="R53" s="52">
        <v>-0.04</v>
      </c>
      <c r="S53" s="48">
        <v>-1.6E-2</v>
      </c>
      <c r="T53" s="51"/>
      <c r="U53" s="48">
        <v>1.6E-2</v>
      </c>
      <c r="V53" s="48">
        <v>-1.6E-2</v>
      </c>
      <c r="W53" s="48">
        <v>-1.6E-2</v>
      </c>
      <c r="X53" s="54">
        <v>-0.04</v>
      </c>
      <c r="Y53" s="69"/>
      <c r="Z53" s="8"/>
      <c r="AA53" s="8"/>
    </row>
    <row r="54" spans="1:27" x14ac:dyDescent="0.3">
      <c r="I54" s="67"/>
      <c r="J54" s="48">
        <v>-0.04</v>
      </c>
      <c r="K54" s="113">
        <f>$K$53+((Q54-$Q$53)/((24)*($B$7)))</f>
        <v>-1.5428333333334498E-2</v>
      </c>
      <c r="L54" s="113">
        <f>$L$53+((Q54-$Q$53)/((24)*($B$7)))</f>
        <v>-1.5428333333334498E-2</v>
      </c>
      <c r="M54" s="48">
        <v>1.6E-2</v>
      </c>
      <c r="N54" s="51"/>
      <c r="O54" s="48">
        <f>-M54</f>
        <v>-1.6E-2</v>
      </c>
      <c r="P54" s="52">
        <v>-0.04</v>
      </c>
      <c r="Q54" s="55">
        <v>129025</v>
      </c>
      <c r="R54" s="52">
        <v>-0.04</v>
      </c>
      <c r="S54" s="48">
        <v>-1.6E-2</v>
      </c>
      <c r="T54" s="51"/>
      <c r="U54" s="48">
        <v>1.6E-2</v>
      </c>
      <c r="V54" s="59">
        <v>-1.6E-2</v>
      </c>
      <c r="W54" s="59">
        <v>-1.6E-2</v>
      </c>
      <c r="X54" s="54">
        <v>-0.04</v>
      </c>
      <c r="Y54" s="69"/>
      <c r="Z54" s="8"/>
      <c r="AA54" s="8"/>
    </row>
    <row r="55" spans="1:27" x14ac:dyDescent="0.3">
      <c r="I55" s="67"/>
      <c r="J55" s="48">
        <v>-0.04</v>
      </c>
      <c r="K55" s="113">
        <f t="shared" ref="K55:K61" si="0">$K$53+((Q55-$Q$53)/((24)*($B$7)))</f>
        <v>-1.1261666666667832E-2</v>
      </c>
      <c r="L55" s="113">
        <f t="shared" ref="L55:L61" si="1">$L$53+((Q55-$Q$53)/((24)*($B$7)))</f>
        <v>-1.1261666666667832E-2</v>
      </c>
      <c r="M55" s="48">
        <v>1.6E-2</v>
      </c>
      <c r="N55" s="51"/>
      <c r="O55" s="48">
        <f t="shared" ref="O55:O58" si="2">-M55</f>
        <v>-1.6E-2</v>
      </c>
      <c r="P55" s="52">
        <v>-0.04</v>
      </c>
      <c r="Q55" s="55">
        <v>129050</v>
      </c>
      <c r="R55" s="52">
        <v>-0.04</v>
      </c>
      <c r="S55" s="48">
        <v>-1.6E-2</v>
      </c>
      <c r="T55" s="51"/>
      <c r="U55" s="48">
        <v>1.6E-2</v>
      </c>
      <c r="V55" s="59">
        <v>-1.6E-2</v>
      </c>
      <c r="W55" s="59">
        <v>-1.6E-2</v>
      </c>
      <c r="X55" s="54">
        <v>-0.04</v>
      </c>
      <c r="Y55" s="69"/>
      <c r="Z55" s="8"/>
      <c r="AA55" s="8"/>
    </row>
    <row r="56" spans="1:27" x14ac:dyDescent="0.3">
      <c r="I56" s="67"/>
      <c r="J56" s="48">
        <v>-0.04</v>
      </c>
      <c r="K56" s="113">
        <f t="shared" si="0"/>
        <v>-7.0950000000011646E-3</v>
      </c>
      <c r="L56" s="113">
        <f t="shared" si="1"/>
        <v>-7.0950000000011646E-3</v>
      </c>
      <c r="M56" s="48">
        <v>1.6E-2</v>
      </c>
      <c r="N56" s="51"/>
      <c r="O56" s="48">
        <f t="shared" si="2"/>
        <v>-1.6E-2</v>
      </c>
      <c r="P56" s="52">
        <v>-0.04</v>
      </c>
      <c r="Q56" s="55">
        <v>129075</v>
      </c>
      <c r="R56" s="52">
        <v>-0.04</v>
      </c>
      <c r="S56" s="48">
        <v>-1.6E-2</v>
      </c>
      <c r="T56" s="51"/>
      <c r="U56" s="48">
        <v>1.6E-2</v>
      </c>
      <c r="V56" s="59">
        <v>-1.6E-2</v>
      </c>
      <c r="W56" s="59">
        <v>-1.6E-2</v>
      </c>
      <c r="X56" s="54">
        <v>-0.04</v>
      </c>
      <c r="Y56" s="69"/>
      <c r="Z56" s="8"/>
      <c r="AA56" s="8"/>
    </row>
    <row r="57" spans="1:27" x14ac:dyDescent="0.3">
      <c r="I57" s="67"/>
      <c r="J57" s="48">
        <v>-0.04</v>
      </c>
      <c r="K57" s="113">
        <f t="shared" si="0"/>
        <v>-1.9595000000001164E-2</v>
      </c>
      <c r="L57" s="113">
        <f t="shared" si="1"/>
        <v>-1.9595000000001164E-2</v>
      </c>
      <c r="M57" s="48">
        <v>1.6E-2</v>
      </c>
      <c r="N57" s="51"/>
      <c r="O57" s="48">
        <f t="shared" si="2"/>
        <v>-1.6E-2</v>
      </c>
      <c r="P57" s="52">
        <v>-0.04</v>
      </c>
      <c r="Q57" s="55">
        <v>129000</v>
      </c>
      <c r="R57" s="52">
        <v>-0.04</v>
      </c>
      <c r="S57" s="48">
        <v>-1.6E-2</v>
      </c>
      <c r="T57" s="51"/>
      <c r="U57" s="48">
        <v>1.6E-2</v>
      </c>
      <c r="V57" s="59">
        <v>-1.6E-2</v>
      </c>
      <c r="W57" s="59">
        <v>-1.6E-2</v>
      </c>
      <c r="X57" s="54">
        <v>-0.04</v>
      </c>
      <c r="Y57" s="69"/>
      <c r="Z57" s="8"/>
      <c r="AA57" s="8"/>
    </row>
    <row r="58" spans="1:27" x14ac:dyDescent="0.3">
      <c r="I58" s="70" t="s">
        <v>77</v>
      </c>
      <c r="J58" s="48">
        <v>-0.04</v>
      </c>
      <c r="K58" s="113">
        <f t="shared" si="0"/>
        <v>0</v>
      </c>
      <c r="L58" s="113">
        <f t="shared" si="1"/>
        <v>0</v>
      </c>
      <c r="M58" s="48">
        <v>1.6E-2</v>
      </c>
      <c r="N58" s="51"/>
      <c r="O58" s="48">
        <f t="shared" si="2"/>
        <v>-1.6E-2</v>
      </c>
      <c r="P58" s="52">
        <v>-0.04</v>
      </c>
      <c r="Q58" s="53">
        <f>(Q72)-B17</f>
        <v>129117.57</v>
      </c>
      <c r="R58" s="52">
        <v>-0.04</v>
      </c>
      <c r="S58" s="48">
        <v>-1.6E-2</v>
      </c>
      <c r="T58" s="51"/>
      <c r="U58" s="48">
        <v>1.6E-2</v>
      </c>
      <c r="V58" s="59">
        <v>-1.6E-2</v>
      </c>
      <c r="W58" s="59">
        <v>-1.6E-2</v>
      </c>
      <c r="X58" s="54">
        <v>-0.04</v>
      </c>
      <c r="Y58" s="69"/>
      <c r="Z58" s="8"/>
      <c r="AA58" s="8"/>
    </row>
    <row r="59" spans="1:27" x14ac:dyDescent="0.3">
      <c r="I59" s="67"/>
      <c r="J59" s="48">
        <v>-0.04</v>
      </c>
      <c r="K59" s="113">
        <f t="shared" si="0"/>
        <v>1.2383333333321686E-3</v>
      </c>
      <c r="L59" s="113">
        <f t="shared" si="1"/>
        <v>1.2383333333321686E-3</v>
      </c>
      <c r="M59" s="59">
        <v>1.6E-2</v>
      </c>
      <c r="N59" s="51"/>
      <c r="O59" s="59">
        <f t="shared" ref="O59:O64" si="3">-M59</f>
        <v>-1.6E-2</v>
      </c>
      <c r="P59" s="52">
        <v>-0.04</v>
      </c>
      <c r="Q59" s="55">
        <v>129125</v>
      </c>
      <c r="R59" s="52">
        <v>-0.04</v>
      </c>
      <c r="S59" s="56">
        <f>-U59</f>
        <v>-1.3523333333335661E-2</v>
      </c>
      <c r="T59" s="51"/>
      <c r="U59" s="56">
        <f>$U$58-(((Q59-$Q$58)/((12)*($B$7))))</f>
        <v>1.3523333333335661E-2</v>
      </c>
      <c r="V59" s="59">
        <v>-1.6E-2</v>
      </c>
      <c r="W59" s="59">
        <v>-1.6E-2</v>
      </c>
      <c r="X59" s="54">
        <v>-0.04</v>
      </c>
      <c r="Y59" s="69" t="s">
        <v>63</v>
      </c>
      <c r="Z59" s="8"/>
      <c r="AA59" s="8"/>
    </row>
    <row r="60" spans="1:27" x14ac:dyDescent="0.3">
      <c r="I60" s="67"/>
      <c r="J60" s="48">
        <v>-0.04</v>
      </c>
      <c r="K60" s="113">
        <f t="shared" si="0"/>
        <v>5.4049999999988343E-3</v>
      </c>
      <c r="L60" s="113">
        <f t="shared" si="1"/>
        <v>5.4049999999988343E-3</v>
      </c>
      <c r="M60" s="59">
        <v>1.6E-2</v>
      </c>
      <c r="N60" s="51"/>
      <c r="O60" s="59">
        <f t="shared" si="3"/>
        <v>-1.6E-2</v>
      </c>
      <c r="P60" s="52">
        <v>-0.04</v>
      </c>
      <c r="Q60" s="55">
        <v>129150</v>
      </c>
      <c r="R60" s="52">
        <v>-0.04</v>
      </c>
      <c r="S60" s="56">
        <f t="shared" ref="S60:S64" si="4">-U60</f>
        <v>-5.1900000000023282E-3</v>
      </c>
      <c r="T60" s="51"/>
      <c r="U60" s="56">
        <f t="shared" ref="U60:U64" si="5">$U$58-(((Q60-$Q$58)/((12)*($B$7))))</f>
        <v>5.1900000000023282E-3</v>
      </c>
      <c r="V60" s="59">
        <v>-1.6E-2</v>
      </c>
      <c r="W60" s="59">
        <v>-1.6E-2</v>
      </c>
      <c r="X60" s="54">
        <v>-0.04</v>
      </c>
      <c r="Y60" s="69"/>
      <c r="Z60" s="8"/>
      <c r="AA60" s="8"/>
    </row>
    <row r="61" spans="1:27" x14ac:dyDescent="0.3">
      <c r="I61" s="70"/>
      <c r="J61" s="48">
        <v>-0.04</v>
      </c>
      <c r="K61" s="113">
        <f t="shared" si="0"/>
        <v>8.0000000000000002E-3</v>
      </c>
      <c r="L61" s="113">
        <f t="shared" si="1"/>
        <v>8.0000000000000002E-3</v>
      </c>
      <c r="M61" s="59">
        <v>1.6E-2</v>
      </c>
      <c r="N61" s="51"/>
      <c r="O61" s="59">
        <f t="shared" si="3"/>
        <v>-1.6E-2</v>
      </c>
      <c r="P61" s="52">
        <v>-0.04</v>
      </c>
      <c r="Q61" s="53">
        <f>Q58+(B12/2)</f>
        <v>129165.57</v>
      </c>
      <c r="R61" s="52">
        <v>-0.04</v>
      </c>
      <c r="S61" s="56">
        <f t="shared" si="4"/>
        <v>0</v>
      </c>
      <c r="T61" s="51"/>
      <c r="U61" s="56">
        <f t="shared" si="5"/>
        <v>0</v>
      </c>
      <c r="V61" s="59">
        <v>-1.6E-2</v>
      </c>
      <c r="W61" s="59">
        <v>-1.6E-2</v>
      </c>
      <c r="X61" s="54">
        <v>-0.04</v>
      </c>
      <c r="Y61" s="69" t="s">
        <v>77</v>
      </c>
      <c r="Z61" s="8"/>
      <c r="AA61" s="8"/>
    </row>
    <row r="62" spans="1:27" x14ac:dyDescent="0.3">
      <c r="I62" s="67"/>
      <c r="J62" s="48">
        <v>-0.04</v>
      </c>
      <c r="K62" s="113">
        <f t="shared" ref="K62:K64" si="6">$K$53+((Q62-$Q$53)/((24)*($B$7)))</f>
        <v>9.5716666666655036E-3</v>
      </c>
      <c r="L62" s="113">
        <f t="shared" ref="L62:L64" si="7">$L$53+((Q62-$Q$53)/((24)*($B$7)))</f>
        <v>9.5716666666655036E-3</v>
      </c>
      <c r="M62" s="59">
        <v>1.6E-2</v>
      </c>
      <c r="N62" s="51"/>
      <c r="O62" s="59">
        <f t="shared" si="3"/>
        <v>-1.6E-2</v>
      </c>
      <c r="P62" s="52">
        <v>-0.04</v>
      </c>
      <c r="Q62" s="55">
        <v>129175</v>
      </c>
      <c r="R62" s="52">
        <v>-0.04</v>
      </c>
      <c r="S62" s="56">
        <f t="shared" si="4"/>
        <v>3.1433333333310033E-3</v>
      </c>
      <c r="T62" s="51"/>
      <c r="U62" s="56">
        <f t="shared" si="5"/>
        <v>-3.1433333333310033E-3</v>
      </c>
      <c r="V62" s="59">
        <v>-1.6E-2</v>
      </c>
      <c r="W62" s="59">
        <v>-1.6E-2</v>
      </c>
      <c r="X62" s="54">
        <v>-0.04</v>
      </c>
      <c r="Y62" s="69"/>
      <c r="Z62" s="8"/>
      <c r="AA62" s="8"/>
    </row>
    <row r="63" spans="1:27" x14ac:dyDescent="0.3">
      <c r="I63" s="67"/>
      <c r="J63" s="48">
        <v>-0.04</v>
      </c>
      <c r="K63" s="113">
        <f t="shared" si="6"/>
        <v>1.3738333333332169E-2</v>
      </c>
      <c r="L63" s="113">
        <f t="shared" si="7"/>
        <v>1.3738333333332169E-2</v>
      </c>
      <c r="M63" s="59">
        <v>1.6E-2</v>
      </c>
      <c r="N63" s="51"/>
      <c r="O63" s="59">
        <f t="shared" si="3"/>
        <v>-1.6E-2</v>
      </c>
      <c r="P63" s="52">
        <v>-0.04</v>
      </c>
      <c r="Q63" s="55">
        <v>129200</v>
      </c>
      <c r="R63" s="52">
        <v>-0.04</v>
      </c>
      <c r="S63" s="56">
        <f t="shared" si="4"/>
        <v>1.1476666666664338E-2</v>
      </c>
      <c r="T63" s="51"/>
      <c r="U63" s="56">
        <f t="shared" si="5"/>
        <v>-1.1476666666664338E-2</v>
      </c>
      <c r="V63" s="59">
        <v>-1.6E-2</v>
      </c>
      <c r="W63" s="59">
        <v>-1.6E-2</v>
      </c>
      <c r="X63" s="54">
        <v>-0.04</v>
      </c>
      <c r="Y63" s="69"/>
      <c r="Z63" s="8"/>
      <c r="AA63" s="8"/>
    </row>
    <row r="64" spans="1:27" x14ac:dyDescent="0.3">
      <c r="I64" s="67"/>
      <c r="J64" s="48">
        <v>-0.04</v>
      </c>
      <c r="K64" s="113">
        <f t="shared" si="6"/>
        <v>1.6E-2</v>
      </c>
      <c r="L64" s="113">
        <f t="shared" si="7"/>
        <v>1.6E-2</v>
      </c>
      <c r="M64" s="115">
        <v>1.6E-2</v>
      </c>
      <c r="N64" s="51"/>
      <c r="O64" s="115">
        <f t="shared" si="3"/>
        <v>-1.6E-2</v>
      </c>
      <c r="P64" s="52">
        <v>-0.04</v>
      </c>
      <c r="Q64" s="53">
        <f>Q61+(B12/2)</f>
        <v>129213.57</v>
      </c>
      <c r="R64" s="52">
        <v>-0.04</v>
      </c>
      <c r="S64" s="56">
        <f t="shared" si="4"/>
        <v>1.6E-2</v>
      </c>
      <c r="T64" s="51"/>
      <c r="U64" s="56">
        <f t="shared" si="5"/>
        <v>-1.6E-2</v>
      </c>
      <c r="V64" s="59">
        <v>-1.6E-2</v>
      </c>
      <c r="W64" s="59">
        <v>-1.6E-2</v>
      </c>
      <c r="X64" s="54">
        <v>-0.04</v>
      </c>
      <c r="Y64" s="69"/>
      <c r="Z64" s="8"/>
      <c r="AA64" s="8"/>
    </row>
    <row r="65" spans="9:27" x14ac:dyDescent="0.3">
      <c r="I65" s="67"/>
      <c r="J65" s="48">
        <v>-0.04</v>
      </c>
      <c r="K65" s="113">
        <f>$K$64+((Q65-$Q$64)/((36)*($B$7)))</f>
        <v>1.7269999999999223E-2</v>
      </c>
      <c r="L65" s="113">
        <f>$L$64+((Q65-$Q$64)/((36)*($B$7)))</f>
        <v>1.7269999999999223E-2</v>
      </c>
      <c r="M65" s="113">
        <f>(($M$64)+((Q65-$Q$64)/((36)*($B$7))))</f>
        <v>1.7269999999999223E-2</v>
      </c>
      <c r="N65" s="51"/>
      <c r="O65" s="113">
        <f>-M65</f>
        <v>-1.7269999999999223E-2</v>
      </c>
      <c r="P65" s="52">
        <v>-0.04</v>
      </c>
      <c r="Q65" s="55">
        <v>129225</v>
      </c>
      <c r="R65" s="52">
        <v>-0.04</v>
      </c>
      <c r="S65" s="56">
        <f>-U65</f>
        <v>1.7269999999999223E-2</v>
      </c>
      <c r="T65" s="51"/>
      <c r="U65" s="56">
        <f>$U$64-((Q65-$Q$64)/((36)*($B$7)))</f>
        <v>-1.7269999999999223E-2</v>
      </c>
      <c r="V65" s="56">
        <f>$V$64-((Q65-$Q$64)/((36)*($B$7)))</f>
        <v>-1.7269999999999223E-2</v>
      </c>
      <c r="W65" s="56">
        <f>$W$64-((Q65-$Q$64)/((36)*($B$7)))</f>
        <v>-1.7269999999999223E-2</v>
      </c>
      <c r="X65" s="54">
        <v>-0.04</v>
      </c>
      <c r="Y65" s="69"/>
      <c r="Z65" s="8"/>
      <c r="AA65" s="8"/>
    </row>
    <row r="66" spans="9:27" x14ac:dyDescent="0.3">
      <c r="I66" s="67"/>
      <c r="J66" s="48">
        <v>-0.04</v>
      </c>
      <c r="K66" s="113">
        <f t="shared" ref="K66:K69" si="8">$K$64+((Q66-$Q$64)/((36)*($B$7)))</f>
        <v>2.0047777777777002E-2</v>
      </c>
      <c r="L66" s="113">
        <f t="shared" ref="L66:L70" si="9">$L$64+((Q66-$Q$64)/((36)*($B$7)))</f>
        <v>2.0047777777777002E-2</v>
      </c>
      <c r="M66" s="113">
        <f t="shared" ref="M66:M70" si="10">(($M$64)+((Q66-$Q$64)/((36)*($B$7))))</f>
        <v>2.0047777777777002E-2</v>
      </c>
      <c r="N66" s="51"/>
      <c r="O66" s="113">
        <f t="shared" ref="O66:O79" si="11">-M66</f>
        <v>-2.0047777777777002E-2</v>
      </c>
      <c r="P66" s="52">
        <v>-0.04</v>
      </c>
      <c r="Q66" s="55">
        <v>129250</v>
      </c>
      <c r="R66" s="52">
        <v>-0.04</v>
      </c>
      <c r="S66" s="56">
        <f t="shared" ref="S66:S79" si="12">-U66</f>
        <v>2.0047777777777002E-2</v>
      </c>
      <c r="T66" s="51"/>
      <c r="U66" s="56">
        <f t="shared" ref="U66:U70" si="13">$U$64-((Q66-$Q$64)/((36)*($B$7)))</f>
        <v>-2.0047777777777002E-2</v>
      </c>
      <c r="V66" s="56">
        <f t="shared" ref="V66:V70" si="14">$V$64-((Q66-$Q$64)/((36)*($B$7)))</f>
        <v>-2.0047777777777002E-2</v>
      </c>
      <c r="W66" s="56">
        <f t="shared" ref="W66:W70" si="15">$W$64-((Q66-$Q$64)/((36)*($B$7)))</f>
        <v>-2.0047777777777002E-2</v>
      </c>
      <c r="X66" s="54">
        <v>-0.04</v>
      </c>
      <c r="Y66" s="69"/>
      <c r="Z66" s="8"/>
      <c r="AA66" s="8"/>
    </row>
    <row r="67" spans="9:27" x14ac:dyDescent="0.3">
      <c r="I67" s="67"/>
      <c r="J67" s="48">
        <v>-0.04</v>
      </c>
      <c r="K67" s="113">
        <f t="shared" si="8"/>
        <v>2.282555555555478E-2</v>
      </c>
      <c r="L67" s="113">
        <f t="shared" si="9"/>
        <v>2.282555555555478E-2</v>
      </c>
      <c r="M67" s="113">
        <f t="shared" si="10"/>
        <v>2.282555555555478E-2</v>
      </c>
      <c r="N67" s="51"/>
      <c r="O67" s="113">
        <f t="shared" si="11"/>
        <v>-2.282555555555478E-2</v>
      </c>
      <c r="P67" s="52">
        <v>-0.04</v>
      </c>
      <c r="Q67" s="55">
        <v>129275</v>
      </c>
      <c r="R67" s="52">
        <v>-0.04</v>
      </c>
      <c r="S67" s="56">
        <f t="shared" si="12"/>
        <v>2.282555555555478E-2</v>
      </c>
      <c r="T67" s="51"/>
      <c r="U67" s="56">
        <f t="shared" si="13"/>
        <v>-2.282555555555478E-2</v>
      </c>
      <c r="V67" s="56">
        <f t="shared" si="14"/>
        <v>-2.282555555555478E-2</v>
      </c>
      <c r="W67" s="56">
        <f t="shared" si="15"/>
        <v>-2.282555555555478E-2</v>
      </c>
      <c r="X67" s="54">
        <v>-0.04</v>
      </c>
      <c r="Y67" s="69"/>
      <c r="Z67" s="8"/>
      <c r="AA67" s="8"/>
    </row>
    <row r="68" spans="9:27" x14ac:dyDescent="0.3">
      <c r="I68" s="67"/>
      <c r="J68" s="48">
        <v>-0.04</v>
      </c>
      <c r="K68" s="113">
        <f t="shared" si="8"/>
        <v>2.5603333333332558E-2</v>
      </c>
      <c r="L68" s="113">
        <f t="shared" si="9"/>
        <v>2.5603333333332558E-2</v>
      </c>
      <c r="M68" s="113">
        <f t="shared" si="10"/>
        <v>2.5603333333332558E-2</v>
      </c>
      <c r="N68" s="51"/>
      <c r="O68" s="113">
        <f t="shared" si="11"/>
        <v>-2.5603333333332558E-2</v>
      </c>
      <c r="P68" s="52">
        <v>-0.04</v>
      </c>
      <c r="Q68" s="55">
        <v>129300</v>
      </c>
      <c r="R68" s="52">
        <v>-0.04</v>
      </c>
      <c r="S68" s="56">
        <f t="shared" si="12"/>
        <v>2.5603333333332558E-2</v>
      </c>
      <c r="T68" s="51"/>
      <c r="U68" s="56">
        <f t="shared" si="13"/>
        <v>-2.5603333333332558E-2</v>
      </c>
      <c r="V68" s="56">
        <f t="shared" si="14"/>
        <v>-2.5603333333332558E-2</v>
      </c>
      <c r="W68" s="56">
        <f t="shared" si="15"/>
        <v>-2.5603333333332558E-2</v>
      </c>
      <c r="X68" s="54">
        <v>-0.04</v>
      </c>
      <c r="Y68" s="69"/>
      <c r="Z68" s="8"/>
      <c r="AA68" s="8"/>
    </row>
    <row r="69" spans="9:27" x14ac:dyDescent="0.3">
      <c r="I69" s="67"/>
      <c r="J69" s="48">
        <v>-0.04</v>
      </c>
      <c r="K69" s="113">
        <f t="shared" si="8"/>
        <v>2.8381111111110337E-2</v>
      </c>
      <c r="L69" s="113">
        <f t="shared" si="9"/>
        <v>2.8381111111110337E-2</v>
      </c>
      <c r="M69" s="113">
        <f t="shared" si="10"/>
        <v>2.8381111111110337E-2</v>
      </c>
      <c r="N69" s="51"/>
      <c r="O69" s="113">
        <f t="shared" si="11"/>
        <v>-2.8381111111110337E-2</v>
      </c>
      <c r="P69" s="52">
        <v>-0.04</v>
      </c>
      <c r="Q69" s="55">
        <v>129325</v>
      </c>
      <c r="R69" s="52">
        <v>-0.04</v>
      </c>
      <c r="S69" s="56">
        <f t="shared" si="12"/>
        <v>2.8381111111110337E-2</v>
      </c>
      <c r="T69" s="51"/>
      <c r="U69" s="56">
        <f t="shared" si="13"/>
        <v>-2.8381111111110337E-2</v>
      </c>
      <c r="V69" s="56">
        <f t="shared" si="14"/>
        <v>-2.8381111111110337E-2</v>
      </c>
      <c r="W69" s="56">
        <f t="shared" si="15"/>
        <v>-2.8381111111110337E-2</v>
      </c>
      <c r="X69" s="54">
        <v>-0.04</v>
      </c>
      <c r="Y69" s="69"/>
      <c r="Z69" s="8"/>
      <c r="AA69" s="8"/>
    </row>
    <row r="70" spans="9:27" x14ac:dyDescent="0.3">
      <c r="I70" s="70" t="s">
        <v>104</v>
      </c>
      <c r="J70" s="48">
        <v>-0.04</v>
      </c>
      <c r="K70" s="113">
        <f>$K$64+((Q70-$Q$64)/((36)*($B$7)))</f>
        <v>0.03</v>
      </c>
      <c r="L70" s="113">
        <f t="shared" si="9"/>
        <v>0.03</v>
      </c>
      <c r="M70" s="113">
        <f t="shared" si="10"/>
        <v>0.03</v>
      </c>
      <c r="N70" s="51"/>
      <c r="O70" s="113">
        <f t="shared" si="11"/>
        <v>-0.03</v>
      </c>
      <c r="P70" s="52">
        <v>-0.04</v>
      </c>
      <c r="Q70" s="53">
        <f>Q64+126</f>
        <v>129339.57</v>
      </c>
      <c r="R70" s="52">
        <v>-0.04</v>
      </c>
      <c r="S70" s="56">
        <f t="shared" si="12"/>
        <v>0.03</v>
      </c>
      <c r="T70" s="51"/>
      <c r="U70" s="56">
        <f t="shared" si="13"/>
        <v>-0.03</v>
      </c>
      <c r="V70" s="56">
        <f t="shared" si="14"/>
        <v>-0.03</v>
      </c>
      <c r="W70" s="56">
        <f t="shared" si="15"/>
        <v>-0.03</v>
      </c>
      <c r="X70" s="54">
        <v>-0.04</v>
      </c>
      <c r="Y70" s="69" t="s">
        <v>106</v>
      </c>
      <c r="Z70" s="8"/>
      <c r="AA70" s="8"/>
    </row>
    <row r="71" spans="9:27" x14ac:dyDescent="0.3">
      <c r="I71" s="67"/>
      <c r="J71" s="56">
        <f>-0.07+K71</f>
        <v>-3.8841111111111895E-2</v>
      </c>
      <c r="K71" s="113">
        <f t="shared" ref="K71:K72" si="16">$K$64+((Q71-$Q$64)/((36)*($B$7)))</f>
        <v>3.1158888888888112E-2</v>
      </c>
      <c r="L71" s="113">
        <f t="shared" ref="L71:L72" si="17">$L$64+((Q71-$Q$64)/((36)*($B$7)))</f>
        <v>3.1158888888888112E-2</v>
      </c>
      <c r="M71" s="113">
        <f t="shared" ref="M71:M72" si="18">(($M$64)+((Q71-$Q$64)/((36)*($B$7))))</f>
        <v>3.1158888888888112E-2</v>
      </c>
      <c r="N71" s="51"/>
      <c r="O71" s="113">
        <f t="shared" si="11"/>
        <v>-3.1158888888888112E-2</v>
      </c>
      <c r="P71" s="52">
        <v>-0.04</v>
      </c>
      <c r="Q71" s="55">
        <v>129350</v>
      </c>
      <c r="R71" s="56">
        <v>-0.04</v>
      </c>
      <c r="S71" s="56">
        <f t="shared" si="12"/>
        <v>3.1158888888888112E-2</v>
      </c>
      <c r="T71" s="51" t="s">
        <v>143</v>
      </c>
      <c r="U71" s="56">
        <f t="shared" ref="U71:U76" si="19">$U$64-((Q71-$Q$64)/((36)*($B$7)))</f>
        <v>-3.1158888888888112E-2</v>
      </c>
      <c r="V71" s="56">
        <f t="shared" ref="V71:V76" si="20">$V$64-((Q71-$Q$64)/((36)*($B$7)))</f>
        <v>-3.1158888888888112E-2</v>
      </c>
      <c r="W71" s="56">
        <f t="shared" ref="W71:W76" si="21">$W$64-((Q71-$Q$64)/((36)*($B$7)))</f>
        <v>-3.1158888888888112E-2</v>
      </c>
      <c r="X71" s="54">
        <v>-0.04</v>
      </c>
      <c r="Y71" s="69"/>
      <c r="Z71" s="8"/>
      <c r="AA71" s="8"/>
    </row>
    <row r="72" spans="9:27" x14ac:dyDescent="0.3">
      <c r="I72" s="71" t="s">
        <v>43</v>
      </c>
      <c r="J72" s="56">
        <f t="shared" ref="J72:J79" si="22">-0.07+K72</f>
        <v>-3.7555555555555564E-2</v>
      </c>
      <c r="K72" s="113">
        <f t="shared" si="16"/>
        <v>3.2444444444444442E-2</v>
      </c>
      <c r="L72" s="113">
        <f t="shared" si="17"/>
        <v>3.2444444444444442E-2</v>
      </c>
      <c r="M72" s="113">
        <f t="shared" si="18"/>
        <v>3.2444444444444442E-2</v>
      </c>
      <c r="N72" s="51"/>
      <c r="O72" s="113">
        <f t="shared" si="11"/>
        <v>-3.2444444444444442E-2</v>
      </c>
      <c r="P72" s="52">
        <v>-0.04</v>
      </c>
      <c r="Q72" s="53">
        <v>129361.57</v>
      </c>
      <c r="R72" s="56">
        <v>-0.04</v>
      </c>
      <c r="S72" s="56">
        <f t="shared" si="12"/>
        <v>3.2444444444444442E-2</v>
      </c>
      <c r="T72" s="51" t="s">
        <v>143</v>
      </c>
      <c r="U72" s="56">
        <f t="shared" si="19"/>
        <v>-3.2444444444444442E-2</v>
      </c>
      <c r="V72" s="56">
        <f t="shared" si="20"/>
        <v>-3.2444444444444442E-2</v>
      </c>
      <c r="W72" s="56">
        <f t="shared" si="21"/>
        <v>-3.2444444444444442E-2</v>
      </c>
      <c r="X72" s="54">
        <v>-0.04</v>
      </c>
      <c r="Y72" s="69" t="s">
        <v>43</v>
      </c>
      <c r="Z72" s="8"/>
      <c r="AA72" s="8"/>
    </row>
    <row r="73" spans="9:27" x14ac:dyDescent="0.3">
      <c r="I73" s="67"/>
      <c r="J73" s="56">
        <f t="shared" si="22"/>
        <v>-3.6063333333334113E-2</v>
      </c>
      <c r="K73" s="113">
        <f t="shared" ref="K73:K76" si="23">$K$64+((Q73-$Q$64)/((36)*($B$7)))</f>
        <v>3.3936666666665893E-2</v>
      </c>
      <c r="L73" s="113">
        <f t="shared" ref="L73:L76" si="24">$L$64+((Q73-$Q$64)/((36)*($B$7)))</f>
        <v>3.3936666666665893E-2</v>
      </c>
      <c r="M73" s="113">
        <f t="shared" ref="M73:M76" si="25">(($M$64)+((Q73-$Q$64)/((36)*($B$7))))</f>
        <v>3.3936666666665893E-2</v>
      </c>
      <c r="N73" s="51"/>
      <c r="O73" s="113">
        <f t="shared" si="11"/>
        <v>-3.3936666666665893E-2</v>
      </c>
      <c r="P73" s="52">
        <v>-0.04</v>
      </c>
      <c r="Q73" s="55">
        <v>129375</v>
      </c>
      <c r="R73" s="56">
        <v>-0.04</v>
      </c>
      <c r="S73" s="56">
        <f t="shared" si="12"/>
        <v>3.3936666666665893E-2</v>
      </c>
      <c r="T73" s="51" t="s">
        <v>143</v>
      </c>
      <c r="U73" s="56">
        <f t="shared" si="19"/>
        <v>-3.3936666666665893E-2</v>
      </c>
      <c r="V73" s="56">
        <f t="shared" si="20"/>
        <v>-3.3936666666665893E-2</v>
      </c>
      <c r="W73" s="56">
        <f t="shared" si="21"/>
        <v>-3.3936666666665893E-2</v>
      </c>
      <c r="X73" s="54">
        <v>-0.04</v>
      </c>
      <c r="Y73" s="69"/>
      <c r="Z73" s="8"/>
      <c r="AA73" s="8"/>
    </row>
    <row r="74" spans="9:27" x14ac:dyDescent="0.3">
      <c r="I74" s="67"/>
      <c r="J74" s="56">
        <f t="shared" si="22"/>
        <v>-3.3285555555556338E-2</v>
      </c>
      <c r="K74" s="113">
        <f t="shared" si="23"/>
        <v>3.6714444444443668E-2</v>
      </c>
      <c r="L74" s="113">
        <f t="shared" si="24"/>
        <v>3.6714444444443668E-2</v>
      </c>
      <c r="M74" s="113">
        <f t="shared" si="25"/>
        <v>3.6714444444443668E-2</v>
      </c>
      <c r="N74" s="51"/>
      <c r="O74" s="113">
        <f t="shared" si="11"/>
        <v>-3.6714444444443668E-2</v>
      </c>
      <c r="P74" s="52">
        <v>-0.04</v>
      </c>
      <c r="Q74" s="55">
        <v>129400</v>
      </c>
      <c r="R74" s="56">
        <v>-0.04</v>
      </c>
      <c r="S74" s="56">
        <f t="shared" si="12"/>
        <v>3.6714444444443668E-2</v>
      </c>
      <c r="T74" s="51" t="s">
        <v>143</v>
      </c>
      <c r="U74" s="56">
        <f t="shared" si="19"/>
        <v>-3.6714444444443668E-2</v>
      </c>
      <c r="V74" s="56">
        <f t="shared" si="20"/>
        <v>-3.6714444444443668E-2</v>
      </c>
      <c r="W74" s="56">
        <f t="shared" si="21"/>
        <v>-3.6714444444443668E-2</v>
      </c>
      <c r="X74" s="54">
        <v>-0.04</v>
      </c>
      <c r="Y74" s="69"/>
      <c r="Z74" s="8"/>
      <c r="AA74" s="8"/>
    </row>
    <row r="75" spans="9:27" x14ac:dyDescent="0.3">
      <c r="I75" s="67"/>
      <c r="J75" s="56">
        <f t="shared" si="22"/>
        <v>-3.0507777777778564E-2</v>
      </c>
      <c r="K75" s="113">
        <f t="shared" si="23"/>
        <v>3.9492222222221443E-2</v>
      </c>
      <c r="L75" s="113">
        <f t="shared" si="24"/>
        <v>3.9492222222221443E-2</v>
      </c>
      <c r="M75" s="113">
        <f t="shared" si="25"/>
        <v>3.9492222222221443E-2</v>
      </c>
      <c r="N75" s="51"/>
      <c r="O75" s="113">
        <f t="shared" si="11"/>
        <v>-3.9492222222221443E-2</v>
      </c>
      <c r="P75" s="52">
        <v>-0.04</v>
      </c>
      <c r="Q75" s="55">
        <v>129425</v>
      </c>
      <c r="R75" s="56">
        <v>-0.04</v>
      </c>
      <c r="S75" s="56">
        <f t="shared" si="12"/>
        <v>3.9492222222221443E-2</v>
      </c>
      <c r="T75" s="51" t="s">
        <v>143</v>
      </c>
      <c r="U75" s="56">
        <f t="shared" si="19"/>
        <v>-3.9492222222221443E-2</v>
      </c>
      <c r="V75" s="56">
        <f t="shared" si="20"/>
        <v>-3.9492222222221443E-2</v>
      </c>
      <c r="W75" s="56">
        <f t="shared" si="21"/>
        <v>-3.9492222222221443E-2</v>
      </c>
      <c r="X75" s="54">
        <v>-0.04</v>
      </c>
      <c r="Y75" s="69"/>
      <c r="Z75" s="8"/>
      <c r="AA75" s="8"/>
    </row>
    <row r="76" spans="9:27" x14ac:dyDescent="0.3">
      <c r="I76" s="70" t="s">
        <v>105</v>
      </c>
      <c r="J76" s="56">
        <f t="shared" si="22"/>
        <v>-3.0000000000000006E-2</v>
      </c>
      <c r="K76" s="113">
        <f t="shared" si="23"/>
        <v>0.04</v>
      </c>
      <c r="L76" s="113">
        <f t="shared" si="24"/>
        <v>0.04</v>
      </c>
      <c r="M76" s="113">
        <f t="shared" si="25"/>
        <v>0.04</v>
      </c>
      <c r="N76" s="51"/>
      <c r="O76" s="113">
        <f t="shared" si="11"/>
        <v>-0.04</v>
      </c>
      <c r="P76" s="52">
        <v>-0.04</v>
      </c>
      <c r="Q76" s="53">
        <f>Q64+216</f>
        <v>129429.57</v>
      </c>
      <c r="R76" s="56">
        <v>-0.04</v>
      </c>
      <c r="S76" s="56">
        <f t="shared" si="12"/>
        <v>0.04</v>
      </c>
      <c r="T76" s="51" t="s">
        <v>143</v>
      </c>
      <c r="U76" s="56">
        <f t="shared" si="19"/>
        <v>-0.04</v>
      </c>
      <c r="V76" s="56">
        <f t="shared" si="20"/>
        <v>-0.04</v>
      </c>
      <c r="W76" s="56">
        <f t="shared" si="21"/>
        <v>-0.04</v>
      </c>
      <c r="X76" s="54">
        <v>-0.04</v>
      </c>
      <c r="Y76" s="69" t="s">
        <v>107</v>
      </c>
      <c r="Z76" s="8"/>
      <c r="AA76" s="8"/>
    </row>
    <row r="77" spans="9:27" x14ac:dyDescent="0.3">
      <c r="I77" s="67"/>
      <c r="J77" s="56">
        <f t="shared" si="22"/>
        <v>-2.7730000000000782E-2</v>
      </c>
      <c r="K77" s="113">
        <f t="shared" ref="K77:K79" si="26">$K$64+((Q77-$Q$64)/((36)*($B$7)))</f>
        <v>4.2269999999999225E-2</v>
      </c>
      <c r="L77" s="113">
        <f t="shared" ref="L77:L79" si="27">$L$64+((Q77-$Q$64)/((36)*($B$7)))</f>
        <v>4.2269999999999225E-2</v>
      </c>
      <c r="M77" s="113">
        <f t="shared" ref="M77:M79" si="28">(($M$64)+((Q77-$Q$64)/((36)*($B$7))))</f>
        <v>4.2269999999999225E-2</v>
      </c>
      <c r="N77" s="51"/>
      <c r="O77" s="113">
        <f t="shared" si="11"/>
        <v>-4.2269999999999225E-2</v>
      </c>
      <c r="P77" s="56">
        <f>O77</f>
        <v>-4.2269999999999225E-2</v>
      </c>
      <c r="Q77" s="55">
        <v>129450</v>
      </c>
      <c r="R77" s="56">
        <v>-0.04</v>
      </c>
      <c r="S77" s="56">
        <f t="shared" si="12"/>
        <v>4.2269999999999225E-2</v>
      </c>
      <c r="T77" s="51" t="s">
        <v>143</v>
      </c>
      <c r="U77" s="56">
        <f t="shared" ref="U77:U79" si="29">$U$64-((Q77-$Q$64)/((36)*($B$7)))</f>
        <v>-4.2269999999999225E-2</v>
      </c>
      <c r="V77" s="56">
        <f t="shared" ref="V77:V79" si="30">$V$64-((Q77-$Q$64)/((36)*($B$7)))</f>
        <v>-4.2269999999999225E-2</v>
      </c>
      <c r="W77" s="56">
        <f t="shared" ref="W77:W79" si="31">$W$64-((Q77-$Q$64)/((36)*($B$7)))</f>
        <v>-4.2269999999999225E-2</v>
      </c>
      <c r="X77" s="57">
        <f t="shared" ref="X77:X82" si="32">W77</f>
        <v>-4.2269999999999225E-2</v>
      </c>
      <c r="Y77" s="69"/>
      <c r="Z77" s="8"/>
      <c r="AA77" s="8"/>
    </row>
    <row r="78" spans="9:27" x14ac:dyDescent="0.3">
      <c r="I78" s="67"/>
      <c r="J78" s="56">
        <f t="shared" si="22"/>
        <v>-2.4952222222223E-2</v>
      </c>
      <c r="K78" s="113">
        <f t="shared" si="26"/>
        <v>4.5047777777777007E-2</v>
      </c>
      <c r="L78" s="113">
        <f t="shared" si="27"/>
        <v>4.5047777777777007E-2</v>
      </c>
      <c r="M78" s="113">
        <f t="shared" si="28"/>
        <v>4.5047777777777007E-2</v>
      </c>
      <c r="N78" s="51"/>
      <c r="O78" s="113">
        <f t="shared" si="11"/>
        <v>-4.5047777777777007E-2</v>
      </c>
      <c r="P78" s="56">
        <f>O78</f>
        <v>-4.5047777777777007E-2</v>
      </c>
      <c r="Q78" s="55">
        <v>129475</v>
      </c>
      <c r="R78" s="56">
        <v>-0.04</v>
      </c>
      <c r="S78" s="56">
        <f t="shared" si="12"/>
        <v>4.5047777777777007E-2</v>
      </c>
      <c r="T78" s="51" t="s">
        <v>143</v>
      </c>
      <c r="U78" s="56">
        <f t="shared" si="29"/>
        <v>-4.5047777777777007E-2</v>
      </c>
      <c r="V78" s="56">
        <f t="shared" si="30"/>
        <v>-4.5047777777777007E-2</v>
      </c>
      <c r="W78" s="56">
        <f t="shared" si="31"/>
        <v>-4.5047777777777007E-2</v>
      </c>
      <c r="X78" s="57">
        <f t="shared" si="32"/>
        <v>-4.5047777777777007E-2</v>
      </c>
      <c r="Y78" s="69"/>
      <c r="Z78" s="8"/>
      <c r="AA78" s="8"/>
    </row>
    <row r="79" spans="9:27" x14ac:dyDescent="0.3">
      <c r="I79" s="70" t="s">
        <v>79</v>
      </c>
      <c r="J79" s="56">
        <f t="shared" si="22"/>
        <v>-2.4000000000000007E-2</v>
      </c>
      <c r="K79" s="113">
        <f t="shared" si="26"/>
        <v>4.5999999999999999E-2</v>
      </c>
      <c r="L79" s="113">
        <f t="shared" si="27"/>
        <v>4.5999999999999999E-2</v>
      </c>
      <c r="M79" s="113">
        <f t="shared" si="28"/>
        <v>4.5999999999999999E-2</v>
      </c>
      <c r="N79" s="51"/>
      <c r="O79" s="113">
        <f t="shared" si="11"/>
        <v>-4.5999999999999999E-2</v>
      </c>
      <c r="P79" s="56">
        <f>O79</f>
        <v>-4.5999999999999999E-2</v>
      </c>
      <c r="Q79" s="53">
        <f>Q72+(B18)</f>
        <v>129483.57</v>
      </c>
      <c r="R79" s="56">
        <v>-0.04</v>
      </c>
      <c r="S79" s="56">
        <f t="shared" si="12"/>
        <v>4.5999999999999999E-2</v>
      </c>
      <c r="T79" s="51" t="s">
        <v>143</v>
      </c>
      <c r="U79" s="56">
        <f t="shared" si="29"/>
        <v>-4.5999999999999999E-2</v>
      </c>
      <c r="V79" s="56">
        <f t="shared" si="30"/>
        <v>-4.5999999999999999E-2</v>
      </c>
      <c r="W79" s="56">
        <f t="shared" si="31"/>
        <v>-4.5999999999999999E-2</v>
      </c>
      <c r="X79" s="57">
        <f t="shared" si="32"/>
        <v>-4.5999999999999999E-2</v>
      </c>
      <c r="Y79" s="69" t="s">
        <v>79</v>
      </c>
      <c r="Z79" s="8"/>
      <c r="AA79" s="8"/>
    </row>
    <row r="80" spans="9:27" x14ac:dyDescent="0.3">
      <c r="I80" s="67"/>
      <c r="J80" s="48">
        <f t="shared" ref="J80:M82" si="33">J79</f>
        <v>-2.4000000000000007E-2</v>
      </c>
      <c r="K80" s="48">
        <f t="shared" si="33"/>
        <v>4.5999999999999999E-2</v>
      </c>
      <c r="L80" s="48">
        <f t="shared" si="33"/>
        <v>4.5999999999999999E-2</v>
      </c>
      <c r="M80" s="48">
        <f t="shared" si="33"/>
        <v>4.5999999999999999E-2</v>
      </c>
      <c r="N80" s="51"/>
      <c r="O80" s="52">
        <f t="shared" ref="O80:P82" si="34">O79</f>
        <v>-4.5999999999999999E-2</v>
      </c>
      <c r="P80" s="52">
        <f t="shared" si="34"/>
        <v>-4.5999999999999999E-2</v>
      </c>
      <c r="Q80" s="55">
        <v>129500</v>
      </c>
      <c r="R80" s="52">
        <f t="shared" ref="R80:S82" si="35">R79</f>
        <v>-0.04</v>
      </c>
      <c r="S80" s="52">
        <f t="shared" si="35"/>
        <v>4.5999999999999999E-2</v>
      </c>
      <c r="T80" s="51"/>
      <c r="U80" s="48">
        <f t="shared" ref="U80:W82" si="36">U79</f>
        <v>-4.5999999999999999E-2</v>
      </c>
      <c r="V80" s="48">
        <f t="shared" si="36"/>
        <v>-4.5999999999999999E-2</v>
      </c>
      <c r="W80" s="48">
        <f t="shared" si="36"/>
        <v>-4.5999999999999999E-2</v>
      </c>
      <c r="X80" s="48">
        <f t="shared" si="32"/>
        <v>-4.5999999999999999E-2</v>
      </c>
      <c r="Y80" s="69"/>
      <c r="Z80" s="8"/>
      <c r="AA80" s="8"/>
    </row>
    <row r="81" spans="1:27" x14ac:dyDescent="0.3">
      <c r="I81" s="67"/>
      <c r="J81" s="48">
        <f t="shared" si="33"/>
        <v>-2.4000000000000007E-2</v>
      </c>
      <c r="K81" s="48">
        <f t="shared" si="33"/>
        <v>4.5999999999999999E-2</v>
      </c>
      <c r="L81" s="48">
        <f t="shared" si="33"/>
        <v>4.5999999999999999E-2</v>
      </c>
      <c r="M81" s="48">
        <f t="shared" si="33"/>
        <v>4.5999999999999999E-2</v>
      </c>
      <c r="N81" s="51"/>
      <c r="O81" s="52">
        <f t="shared" si="34"/>
        <v>-4.5999999999999999E-2</v>
      </c>
      <c r="P81" s="52">
        <f t="shared" si="34"/>
        <v>-4.5999999999999999E-2</v>
      </c>
      <c r="Q81" s="55">
        <v>129525</v>
      </c>
      <c r="R81" s="52">
        <f t="shared" si="35"/>
        <v>-0.04</v>
      </c>
      <c r="S81" s="52">
        <f t="shared" si="35"/>
        <v>4.5999999999999999E-2</v>
      </c>
      <c r="T81" s="51"/>
      <c r="U81" s="48">
        <f t="shared" si="36"/>
        <v>-4.5999999999999999E-2</v>
      </c>
      <c r="V81" s="48">
        <f t="shared" si="36"/>
        <v>-4.5999999999999999E-2</v>
      </c>
      <c r="W81" s="48">
        <f t="shared" si="36"/>
        <v>-4.5999999999999999E-2</v>
      </c>
      <c r="X81" s="48">
        <f t="shared" si="32"/>
        <v>-4.5999999999999999E-2</v>
      </c>
      <c r="Y81" s="69"/>
      <c r="Z81" s="8"/>
      <c r="AA81" s="8"/>
    </row>
    <row r="82" spans="1:27" x14ac:dyDescent="0.3">
      <c r="I82" s="67"/>
      <c r="J82" s="48">
        <f t="shared" si="33"/>
        <v>-2.4000000000000007E-2</v>
      </c>
      <c r="K82" s="48">
        <f t="shared" si="33"/>
        <v>4.5999999999999999E-2</v>
      </c>
      <c r="L82" s="48">
        <f t="shared" si="33"/>
        <v>4.5999999999999999E-2</v>
      </c>
      <c r="M82" s="48">
        <f t="shared" si="33"/>
        <v>4.5999999999999999E-2</v>
      </c>
      <c r="N82" s="51"/>
      <c r="O82" s="52">
        <f t="shared" si="34"/>
        <v>-4.5999999999999999E-2</v>
      </c>
      <c r="P82" s="52">
        <f t="shared" si="34"/>
        <v>-4.5999999999999999E-2</v>
      </c>
      <c r="Q82" s="55">
        <v>129550</v>
      </c>
      <c r="R82" s="52">
        <f t="shared" si="35"/>
        <v>-0.04</v>
      </c>
      <c r="S82" s="52">
        <f t="shared" si="35"/>
        <v>4.5999999999999999E-2</v>
      </c>
      <c r="T82" s="51"/>
      <c r="U82" s="48">
        <f t="shared" si="36"/>
        <v>-4.5999999999999999E-2</v>
      </c>
      <c r="V82" s="48">
        <f t="shared" si="36"/>
        <v>-4.5999999999999999E-2</v>
      </c>
      <c r="W82" s="48">
        <f t="shared" si="36"/>
        <v>-4.5999999999999999E-2</v>
      </c>
      <c r="X82" s="48">
        <f t="shared" si="32"/>
        <v>-4.5999999999999999E-2</v>
      </c>
      <c r="Y82" s="69"/>
      <c r="Z82" s="8"/>
      <c r="AA82" s="8"/>
    </row>
    <row r="83" spans="1:27" x14ac:dyDescent="0.3">
      <c r="I83" s="67"/>
      <c r="J83" s="166" t="s">
        <v>76</v>
      </c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69"/>
      <c r="Z83" s="8"/>
      <c r="AA83" s="8"/>
    </row>
    <row r="84" spans="1:27" x14ac:dyDescent="0.3">
      <c r="I84" s="67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69"/>
      <c r="Z84" s="8"/>
      <c r="AA84" s="8"/>
    </row>
    <row r="85" spans="1:27" ht="52.2" customHeight="1" x14ac:dyDescent="0.3">
      <c r="I85" s="67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69"/>
      <c r="Z85" s="8"/>
      <c r="AA85" s="8"/>
    </row>
    <row r="86" spans="1:27" ht="14.4" customHeight="1" x14ac:dyDescent="0.3">
      <c r="I86" s="67"/>
      <c r="J86" s="48">
        <f t="shared" ref="J86:M88" si="37">J79</f>
        <v>-2.4000000000000007E-2</v>
      </c>
      <c r="K86" s="48">
        <f t="shared" si="37"/>
        <v>4.5999999999999999E-2</v>
      </c>
      <c r="L86" s="48">
        <f t="shared" si="37"/>
        <v>4.5999999999999999E-2</v>
      </c>
      <c r="M86" s="48">
        <f t="shared" si="37"/>
        <v>4.5999999999999999E-2</v>
      </c>
      <c r="N86" s="51"/>
      <c r="O86" s="52">
        <f t="shared" ref="O86:P88" si="38">O79</f>
        <v>-4.5999999999999999E-2</v>
      </c>
      <c r="P86" s="52">
        <f t="shared" si="38"/>
        <v>-4.5999999999999999E-2</v>
      </c>
      <c r="Q86" s="50">
        <v>131600</v>
      </c>
      <c r="R86" s="52">
        <f t="shared" ref="R86:S88" si="39">R79</f>
        <v>-0.04</v>
      </c>
      <c r="S86" s="52">
        <f t="shared" si="39"/>
        <v>4.5999999999999999E-2</v>
      </c>
      <c r="T86" s="51"/>
      <c r="U86" s="48">
        <f t="shared" ref="U86:X88" si="40">U79</f>
        <v>-4.5999999999999999E-2</v>
      </c>
      <c r="V86" s="48">
        <f t="shared" si="40"/>
        <v>-4.5999999999999999E-2</v>
      </c>
      <c r="W86" s="48">
        <f t="shared" si="40"/>
        <v>-4.5999999999999999E-2</v>
      </c>
      <c r="X86" s="48">
        <f t="shared" si="40"/>
        <v>-4.5999999999999999E-2</v>
      </c>
      <c r="Y86" s="69"/>
      <c r="Z86" s="8"/>
      <c r="AA86" s="8"/>
    </row>
    <row r="87" spans="1:27" s="45" customFormat="1" ht="14.4" customHeight="1" x14ac:dyDescent="0.3">
      <c r="A87" s="35"/>
      <c r="B87" s="35"/>
      <c r="C87" s="35"/>
      <c r="D87" s="35"/>
      <c r="E87" s="35"/>
      <c r="F87" s="35"/>
      <c r="G87" s="35"/>
      <c r="H87" s="35"/>
      <c r="I87" s="70"/>
      <c r="J87" s="48">
        <f t="shared" si="37"/>
        <v>-2.4000000000000007E-2</v>
      </c>
      <c r="K87" s="48">
        <f t="shared" si="37"/>
        <v>4.5999999999999999E-2</v>
      </c>
      <c r="L87" s="48">
        <f t="shared" si="37"/>
        <v>4.5999999999999999E-2</v>
      </c>
      <c r="M87" s="48">
        <f t="shared" si="37"/>
        <v>4.5999999999999999E-2</v>
      </c>
      <c r="N87" s="51"/>
      <c r="O87" s="52">
        <f t="shared" si="38"/>
        <v>-4.5999999999999999E-2</v>
      </c>
      <c r="P87" s="52">
        <f t="shared" si="38"/>
        <v>-4.5999999999999999E-2</v>
      </c>
      <c r="Q87" s="50">
        <v>131625</v>
      </c>
      <c r="R87" s="52">
        <f t="shared" si="39"/>
        <v>-0.04</v>
      </c>
      <c r="S87" s="52">
        <f t="shared" si="39"/>
        <v>4.5999999999999999E-2</v>
      </c>
      <c r="T87" s="51"/>
      <c r="U87" s="48">
        <f t="shared" si="40"/>
        <v>-4.5999999999999999E-2</v>
      </c>
      <c r="V87" s="48">
        <f t="shared" si="40"/>
        <v>-4.5999999999999999E-2</v>
      </c>
      <c r="W87" s="48">
        <f t="shared" si="40"/>
        <v>-4.5999999999999999E-2</v>
      </c>
      <c r="X87" s="48">
        <f t="shared" si="40"/>
        <v>-4.5999999999999999E-2</v>
      </c>
      <c r="Y87" s="69"/>
      <c r="Z87" s="35"/>
      <c r="AA87" s="35"/>
    </row>
    <row r="88" spans="1:27" s="45" customFormat="1" x14ac:dyDescent="0.3">
      <c r="A88" s="35"/>
      <c r="B88" s="35"/>
      <c r="C88" s="35"/>
      <c r="D88" s="35"/>
      <c r="E88" s="35"/>
      <c r="F88" s="35"/>
      <c r="G88" s="35"/>
      <c r="H88" s="35"/>
      <c r="I88" s="70"/>
      <c r="J88" s="48">
        <f t="shared" si="37"/>
        <v>-2.4000000000000007E-2</v>
      </c>
      <c r="K88" s="48">
        <f t="shared" si="37"/>
        <v>4.5999999999999999E-2</v>
      </c>
      <c r="L88" s="48">
        <f t="shared" si="37"/>
        <v>4.5999999999999999E-2</v>
      </c>
      <c r="M88" s="48">
        <f t="shared" si="37"/>
        <v>4.5999999999999999E-2</v>
      </c>
      <c r="N88" s="51"/>
      <c r="O88" s="52">
        <f t="shared" si="38"/>
        <v>-4.5999999999999999E-2</v>
      </c>
      <c r="P88" s="52">
        <f t="shared" si="38"/>
        <v>-4.5999999999999999E-2</v>
      </c>
      <c r="Q88" s="55">
        <v>131650</v>
      </c>
      <c r="R88" s="52">
        <f t="shared" si="39"/>
        <v>-0.04</v>
      </c>
      <c r="S88" s="52">
        <f t="shared" si="39"/>
        <v>4.5999999999999999E-2</v>
      </c>
      <c r="T88" s="51"/>
      <c r="U88" s="48">
        <f t="shared" si="40"/>
        <v>-4.5999999999999999E-2</v>
      </c>
      <c r="V88" s="48">
        <f t="shared" si="40"/>
        <v>-4.5999999999999999E-2</v>
      </c>
      <c r="W88" s="48">
        <f t="shared" si="40"/>
        <v>-4.5999999999999999E-2</v>
      </c>
      <c r="X88" s="48">
        <f t="shared" si="40"/>
        <v>-4.5999999999999999E-2</v>
      </c>
      <c r="Y88" s="69"/>
      <c r="Z88" s="35"/>
      <c r="AA88" s="35"/>
    </row>
    <row r="89" spans="1:27" x14ac:dyDescent="0.3">
      <c r="I89" s="70" t="s">
        <v>80</v>
      </c>
      <c r="J89" s="48">
        <f>J82</f>
        <v>-2.4000000000000007E-2</v>
      </c>
      <c r="K89" s="48">
        <f>K82</f>
        <v>4.5999999999999999E-2</v>
      </c>
      <c r="L89" s="48">
        <f>L82</f>
        <v>4.5999999999999999E-2</v>
      </c>
      <c r="M89" s="48">
        <f>M82</f>
        <v>4.5999999999999999E-2</v>
      </c>
      <c r="N89" s="51"/>
      <c r="O89" s="52">
        <f>O82</f>
        <v>-4.5999999999999999E-2</v>
      </c>
      <c r="P89" s="52">
        <f>P82</f>
        <v>-4.5999999999999999E-2</v>
      </c>
      <c r="Q89" s="53">
        <f>Q96-B18</f>
        <v>131665.99</v>
      </c>
      <c r="R89" s="52">
        <f>R82</f>
        <v>-0.04</v>
      </c>
      <c r="S89" s="52">
        <f>S82</f>
        <v>4.5999999999999999E-2</v>
      </c>
      <c r="T89" s="51"/>
      <c r="U89" s="48">
        <f>U82</f>
        <v>-4.5999999999999999E-2</v>
      </c>
      <c r="V89" s="48">
        <f>V82</f>
        <v>-4.5999999999999999E-2</v>
      </c>
      <c r="W89" s="48">
        <f>W82</f>
        <v>-4.5999999999999999E-2</v>
      </c>
      <c r="X89" s="48">
        <f>X82</f>
        <v>-4.5999999999999999E-2</v>
      </c>
      <c r="Y89" s="68" t="s">
        <v>80</v>
      </c>
      <c r="Z89" s="8"/>
      <c r="AA89" s="8"/>
    </row>
    <row r="90" spans="1:27" x14ac:dyDescent="0.3">
      <c r="I90" s="70"/>
      <c r="J90" s="56">
        <f>-0.07+K90</f>
        <v>-2.5001111111112154E-2</v>
      </c>
      <c r="K90" s="56">
        <f>$K$89-((Q90-$Q$89)/((36)*($B$7)))</f>
        <v>4.4998888888887853E-2</v>
      </c>
      <c r="L90" s="56">
        <f>$L$89-((Q90-$Q$89)/((36)*($B$7)))</f>
        <v>4.4998888888887853E-2</v>
      </c>
      <c r="M90" s="56">
        <f>$M$89-((Q90-Q$89)/((36)*($B$7)))</f>
        <v>4.4998888888887853E-2</v>
      </c>
      <c r="N90" s="51"/>
      <c r="O90" s="56">
        <f>-M90</f>
        <v>-4.4998888888887853E-2</v>
      </c>
      <c r="P90" s="56">
        <f>O90</f>
        <v>-4.4998888888887853E-2</v>
      </c>
      <c r="Q90" s="55">
        <v>131675</v>
      </c>
      <c r="R90" s="56">
        <v>-0.04</v>
      </c>
      <c r="S90" s="56">
        <f>-U90</f>
        <v>4.4998888888887853E-2</v>
      </c>
      <c r="T90" s="51" t="s">
        <v>143</v>
      </c>
      <c r="U90" s="56">
        <f>$U$89+((Q90-$Q$89)/(($B$7)*(36)))</f>
        <v>-4.4998888888887853E-2</v>
      </c>
      <c r="V90" s="56">
        <f>$V$89+((Q90-$Q$89)/(($B$7)*(36)))</f>
        <v>-4.4998888888887853E-2</v>
      </c>
      <c r="W90" s="56">
        <f>$W$89+((Q90-$Q$89)/(($B$7)*(36)))</f>
        <v>-4.4998888888887853E-2</v>
      </c>
      <c r="X90" s="56">
        <f>W90</f>
        <v>-4.4998888888887853E-2</v>
      </c>
      <c r="Y90" s="68"/>
      <c r="Z90" s="8"/>
      <c r="AA90" s="8"/>
    </row>
    <row r="91" spans="1:27" x14ac:dyDescent="0.3">
      <c r="I91" s="70"/>
      <c r="J91" s="56">
        <f t="shared" ref="J91:J98" si="41">-0.07+K91</f>
        <v>-2.7778888888889929E-2</v>
      </c>
      <c r="K91" s="56">
        <f t="shared" ref="K91:K92" si="42">$K$89-((Q91-$Q$89)/((36)*($B$7)))</f>
        <v>4.2221111111110078E-2</v>
      </c>
      <c r="L91" s="56">
        <f t="shared" ref="L91:L92" si="43">$L$89-((Q91-$Q$89)/((36)*($B$7)))</f>
        <v>4.2221111111110078E-2</v>
      </c>
      <c r="M91" s="56">
        <f t="shared" ref="M91:M92" si="44">$M$89-((Q91-Q$89)/((36)*($B$7)))</f>
        <v>4.2221111111110078E-2</v>
      </c>
      <c r="N91" s="51"/>
      <c r="O91" s="56">
        <f>-M91</f>
        <v>-4.2221111111110078E-2</v>
      </c>
      <c r="P91" s="56">
        <f>O91</f>
        <v>-4.2221111111110078E-2</v>
      </c>
      <c r="Q91" s="55">
        <v>131700</v>
      </c>
      <c r="R91" s="56">
        <v>-0.04</v>
      </c>
      <c r="S91" s="56">
        <f t="shared" ref="S91:S92" si="45">-U91</f>
        <v>4.2221111111110078E-2</v>
      </c>
      <c r="T91" s="51" t="s">
        <v>143</v>
      </c>
      <c r="U91" s="56">
        <f t="shared" ref="U91:U92" si="46">$U$89+((Q91-$Q$89)/(($B$7)*(36)))</f>
        <v>-4.2221111111110078E-2</v>
      </c>
      <c r="V91" s="56">
        <f t="shared" ref="V91:V92" si="47">$V$89+((Q91-$Q$89)/(($B$7)*(36)))</f>
        <v>-4.2221111111110078E-2</v>
      </c>
      <c r="W91" s="56">
        <f t="shared" ref="W91:W92" si="48">$W$89+((Q91-$Q$89)/(($B$7)*(36)))</f>
        <v>-4.2221111111110078E-2</v>
      </c>
      <c r="X91" s="56">
        <f t="shared" ref="X91:X92" si="49">W91</f>
        <v>-4.2221111111110078E-2</v>
      </c>
      <c r="Y91" s="68"/>
      <c r="Z91" s="8"/>
      <c r="AA91" s="8"/>
    </row>
    <row r="92" spans="1:27" x14ac:dyDescent="0.3">
      <c r="I92" s="70"/>
      <c r="J92" s="56">
        <f t="shared" si="41"/>
        <v>-3.0000000000000006E-2</v>
      </c>
      <c r="K92" s="56">
        <f t="shared" si="42"/>
        <v>0.04</v>
      </c>
      <c r="L92" s="56">
        <f t="shared" si="43"/>
        <v>0.04</v>
      </c>
      <c r="M92" s="56">
        <f t="shared" si="44"/>
        <v>0.04</v>
      </c>
      <c r="N92" s="51"/>
      <c r="O92" s="56">
        <f>-M92</f>
        <v>-0.04</v>
      </c>
      <c r="P92" s="56">
        <f>O92</f>
        <v>-0.04</v>
      </c>
      <c r="Q92" s="53">
        <f>Q89+54</f>
        <v>131719.99</v>
      </c>
      <c r="R92" s="56">
        <v>-0.04</v>
      </c>
      <c r="S92" s="56">
        <f t="shared" si="45"/>
        <v>0.04</v>
      </c>
      <c r="T92" s="51" t="s">
        <v>143</v>
      </c>
      <c r="U92" s="56">
        <f t="shared" si="46"/>
        <v>-0.04</v>
      </c>
      <c r="V92" s="56">
        <f t="shared" si="47"/>
        <v>-0.04</v>
      </c>
      <c r="W92" s="56">
        <f t="shared" si="48"/>
        <v>-0.04</v>
      </c>
      <c r="X92" s="56">
        <f t="shared" si="49"/>
        <v>-0.04</v>
      </c>
      <c r="Y92" s="68" t="s">
        <v>82</v>
      </c>
      <c r="Z92" s="8"/>
      <c r="AA92" s="8"/>
    </row>
    <row r="93" spans="1:27" x14ac:dyDescent="0.3">
      <c r="I93" s="70"/>
      <c r="J93" s="56">
        <f t="shared" si="41"/>
        <v>-3.055666666666771E-2</v>
      </c>
      <c r="K93" s="56">
        <f t="shared" ref="K93:K98" si="50">$K$89-((Q93-$Q$89)/((36)*($B$7)))</f>
        <v>3.9443333333332296E-2</v>
      </c>
      <c r="L93" s="56">
        <f t="shared" ref="L93:L98" si="51">$L$89-((Q93-$Q$89)/((36)*($B$7)))</f>
        <v>3.9443333333332296E-2</v>
      </c>
      <c r="M93" s="56">
        <f t="shared" ref="M93:M98" si="52">$M$89-((Q93-Q$89)/((36)*($B$7)))</f>
        <v>3.9443333333332296E-2</v>
      </c>
      <c r="N93" s="51"/>
      <c r="O93" s="56">
        <f>-M93</f>
        <v>-3.9443333333332296E-2</v>
      </c>
      <c r="P93" s="59">
        <v>-0.04</v>
      </c>
      <c r="Q93" s="55">
        <v>131725</v>
      </c>
      <c r="R93" s="56">
        <v>-0.04</v>
      </c>
      <c r="S93" s="56">
        <f t="shared" ref="S93:S103" si="53">-U93</f>
        <v>3.9443333333332296E-2</v>
      </c>
      <c r="T93" s="51" t="s">
        <v>143</v>
      </c>
      <c r="U93" s="56">
        <f t="shared" ref="U93:U98" si="54">$U$89+((Q93-$Q$89)/(($B$7)*(36)))</f>
        <v>-3.9443333333332296E-2</v>
      </c>
      <c r="V93" s="56">
        <f t="shared" ref="V93:V98" si="55">$V$89+((Q93-$Q$89)/(($B$7)*(36)))</f>
        <v>-3.9443333333332296E-2</v>
      </c>
      <c r="W93" s="56">
        <f t="shared" ref="W93:W98" si="56">$W$89+((Q93-$Q$89)/(($B$7)*(36)))</f>
        <v>-3.9443333333332296E-2</v>
      </c>
      <c r="X93" s="52">
        <v>-0.04</v>
      </c>
      <c r="Y93" s="68"/>
      <c r="Z93" s="8"/>
      <c r="AA93" s="8"/>
    </row>
    <row r="94" spans="1:27" x14ac:dyDescent="0.3">
      <c r="I94" s="70"/>
      <c r="J94" s="56">
        <f t="shared" si="41"/>
        <v>-3.3334444444445485E-2</v>
      </c>
      <c r="K94" s="56">
        <f t="shared" si="50"/>
        <v>3.6665555555554522E-2</v>
      </c>
      <c r="L94" s="56">
        <f t="shared" si="51"/>
        <v>3.6665555555554522E-2</v>
      </c>
      <c r="M94" s="56">
        <f t="shared" si="52"/>
        <v>3.6665555555554522E-2</v>
      </c>
      <c r="N94" s="51"/>
      <c r="O94" s="56">
        <f t="shared" ref="O94:O115" si="57">-M94</f>
        <v>-3.6665555555554522E-2</v>
      </c>
      <c r="P94" s="59">
        <v>-0.04</v>
      </c>
      <c r="Q94" s="55">
        <v>131750</v>
      </c>
      <c r="R94" s="56">
        <v>-0.04</v>
      </c>
      <c r="S94" s="56">
        <f t="shared" si="53"/>
        <v>3.6665555555554522E-2</v>
      </c>
      <c r="T94" s="51" t="s">
        <v>143</v>
      </c>
      <c r="U94" s="56">
        <f t="shared" si="54"/>
        <v>-3.6665555555554522E-2</v>
      </c>
      <c r="V94" s="56">
        <f t="shared" si="55"/>
        <v>-3.6665555555554522E-2</v>
      </c>
      <c r="W94" s="56">
        <f t="shared" si="56"/>
        <v>-3.6665555555554522E-2</v>
      </c>
      <c r="X94" s="52">
        <v>-0.04</v>
      </c>
      <c r="Y94" s="68"/>
      <c r="Z94" s="8"/>
      <c r="AA94" s="8"/>
    </row>
    <row r="95" spans="1:27" x14ac:dyDescent="0.3">
      <c r="I95" s="67"/>
      <c r="J95" s="56">
        <f t="shared" si="41"/>
        <v>-3.6112222222223267E-2</v>
      </c>
      <c r="K95" s="56">
        <f t="shared" si="50"/>
        <v>3.388777777777674E-2</v>
      </c>
      <c r="L95" s="56">
        <f t="shared" si="51"/>
        <v>3.388777777777674E-2</v>
      </c>
      <c r="M95" s="56">
        <f t="shared" si="52"/>
        <v>3.388777777777674E-2</v>
      </c>
      <c r="N95" s="51"/>
      <c r="O95" s="56">
        <f t="shared" si="57"/>
        <v>-3.388777777777674E-2</v>
      </c>
      <c r="P95" s="59">
        <v>-0.04</v>
      </c>
      <c r="Q95" s="55">
        <v>131775</v>
      </c>
      <c r="R95" s="56">
        <v>-0.04</v>
      </c>
      <c r="S95" s="56">
        <f t="shared" si="53"/>
        <v>3.388777777777674E-2</v>
      </c>
      <c r="T95" s="51" t="s">
        <v>143</v>
      </c>
      <c r="U95" s="56">
        <f t="shared" si="54"/>
        <v>-3.388777777777674E-2</v>
      </c>
      <c r="V95" s="56">
        <f t="shared" si="55"/>
        <v>-3.388777777777674E-2</v>
      </c>
      <c r="W95" s="56">
        <f t="shared" si="56"/>
        <v>-3.388777777777674E-2</v>
      </c>
      <c r="X95" s="52">
        <v>-0.04</v>
      </c>
      <c r="Y95" s="69"/>
      <c r="Z95" s="8"/>
      <c r="AA95" s="8"/>
    </row>
    <row r="96" spans="1:27" s="47" customFormat="1" x14ac:dyDescent="0.3">
      <c r="A96" s="46"/>
      <c r="B96" s="46"/>
      <c r="C96" s="46"/>
      <c r="D96" s="46"/>
      <c r="E96" s="46"/>
      <c r="F96" s="46"/>
      <c r="G96" s="46"/>
      <c r="H96" s="46"/>
      <c r="I96" s="71" t="s">
        <v>44</v>
      </c>
      <c r="J96" s="56">
        <f t="shared" si="41"/>
        <v>-3.7555555555555564E-2</v>
      </c>
      <c r="K96" s="56">
        <f t="shared" si="50"/>
        <v>3.2444444444444442E-2</v>
      </c>
      <c r="L96" s="56">
        <f t="shared" si="51"/>
        <v>3.2444444444444442E-2</v>
      </c>
      <c r="M96" s="56">
        <f t="shared" si="52"/>
        <v>3.2444444444444442E-2</v>
      </c>
      <c r="N96" s="60"/>
      <c r="O96" s="56">
        <f t="shared" si="57"/>
        <v>-3.2444444444444442E-2</v>
      </c>
      <c r="P96" s="59">
        <v>-0.04</v>
      </c>
      <c r="Q96" s="61">
        <v>131787.99</v>
      </c>
      <c r="R96" s="56">
        <v>-0.04</v>
      </c>
      <c r="S96" s="56">
        <f t="shared" si="53"/>
        <v>3.2444444444444442E-2</v>
      </c>
      <c r="T96" s="51" t="s">
        <v>143</v>
      </c>
      <c r="U96" s="56">
        <f t="shared" si="54"/>
        <v>-3.2444444444444442E-2</v>
      </c>
      <c r="V96" s="56">
        <f t="shared" si="55"/>
        <v>-3.2444444444444442E-2</v>
      </c>
      <c r="W96" s="56">
        <f t="shared" si="56"/>
        <v>-3.2444444444444442E-2</v>
      </c>
      <c r="X96" s="52">
        <v>-0.04</v>
      </c>
      <c r="Y96" s="72" t="s">
        <v>44</v>
      </c>
      <c r="Z96" s="46"/>
      <c r="AA96" s="46"/>
    </row>
    <row r="97" spans="9:27" x14ac:dyDescent="0.3">
      <c r="I97" s="67"/>
      <c r="J97" s="56">
        <f t="shared" si="41"/>
        <v>-3.8890000000001042E-2</v>
      </c>
      <c r="K97" s="56">
        <f t="shared" si="50"/>
        <v>3.1109999999998965E-2</v>
      </c>
      <c r="L97" s="56">
        <f t="shared" si="51"/>
        <v>3.1109999999998965E-2</v>
      </c>
      <c r="M97" s="56">
        <f t="shared" si="52"/>
        <v>3.1109999999998965E-2</v>
      </c>
      <c r="N97" s="51"/>
      <c r="O97" s="56">
        <f t="shared" si="57"/>
        <v>-3.1109999999998965E-2</v>
      </c>
      <c r="P97" s="59">
        <v>-0.04</v>
      </c>
      <c r="Q97" s="50">
        <v>131800</v>
      </c>
      <c r="R97" s="56">
        <v>-0.04</v>
      </c>
      <c r="S97" s="56">
        <f t="shared" si="53"/>
        <v>3.1109999999998965E-2</v>
      </c>
      <c r="T97" s="51" t="s">
        <v>143</v>
      </c>
      <c r="U97" s="56">
        <f t="shared" si="54"/>
        <v>-3.1109999999998965E-2</v>
      </c>
      <c r="V97" s="56">
        <f t="shared" si="55"/>
        <v>-3.1109999999998965E-2</v>
      </c>
      <c r="W97" s="56">
        <f t="shared" si="56"/>
        <v>-3.1109999999998965E-2</v>
      </c>
      <c r="X97" s="52">
        <v>-0.04</v>
      </c>
      <c r="Y97" s="68"/>
      <c r="Z97" s="8"/>
      <c r="AA97" s="8"/>
    </row>
    <row r="98" spans="9:27" x14ac:dyDescent="0.3">
      <c r="I98" s="70" t="s">
        <v>74</v>
      </c>
      <c r="J98" s="56">
        <f t="shared" si="41"/>
        <v>-4.0000000000000008E-2</v>
      </c>
      <c r="K98" s="56">
        <f t="shared" si="50"/>
        <v>0.03</v>
      </c>
      <c r="L98" s="56">
        <f t="shared" si="51"/>
        <v>0.03</v>
      </c>
      <c r="M98" s="56">
        <f t="shared" si="52"/>
        <v>0.03</v>
      </c>
      <c r="N98" s="51"/>
      <c r="O98" s="56">
        <f t="shared" si="57"/>
        <v>-0.03</v>
      </c>
      <c r="P98" s="59">
        <v>-0.04</v>
      </c>
      <c r="Q98" s="62">
        <f>Q89+((B9-0.03)*(36)*(B7))</f>
        <v>131809.99</v>
      </c>
      <c r="R98" s="56">
        <v>-0.04</v>
      </c>
      <c r="S98" s="56">
        <f t="shared" si="53"/>
        <v>0.03</v>
      </c>
      <c r="T98" s="51"/>
      <c r="U98" s="56">
        <f t="shared" si="54"/>
        <v>-0.03</v>
      </c>
      <c r="V98" s="56">
        <f t="shared" si="55"/>
        <v>-0.03</v>
      </c>
      <c r="W98" s="56">
        <f t="shared" si="56"/>
        <v>-0.03</v>
      </c>
      <c r="X98" s="52">
        <v>-0.04</v>
      </c>
      <c r="Y98" s="68" t="s">
        <v>108</v>
      </c>
      <c r="Z98" s="8"/>
      <c r="AA98" s="8"/>
    </row>
    <row r="99" spans="9:27" x14ac:dyDescent="0.3">
      <c r="I99" s="67"/>
      <c r="J99" s="52">
        <v>-0.04</v>
      </c>
      <c r="K99" s="56">
        <f t="shared" ref="K99:K103" si="58">$K$89-((Q99-$Q$89)/((36)*($B$7)))</f>
        <v>2.8332222222221187E-2</v>
      </c>
      <c r="L99" s="56">
        <f t="shared" ref="L99:L104" si="59">$L$89-((Q99-$Q$89)/((36)*($B$7)))</f>
        <v>2.8332222222221187E-2</v>
      </c>
      <c r="M99" s="56">
        <f t="shared" ref="M99:M104" si="60">$M$89-((Q99-Q$89)/((36)*($B$7)))</f>
        <v>2.8332222222221187E-2</v>
      </c>
      <c r="N99" s="51"/>
      <c r="O99" s="56">
        <f t="shared" si="57"/>
        <v>-2.8332222222221187E-2</v>
      </c>
      <c r="P99" s="59">
        <v>-0.04</v>
      </c>
      <c r="Q99" s="50">
        <v>131825</v>
      </c>
      <c r="R99" s="59">
        <v>-0.04</v>
      </c>
      <c r="S99" s="56">
        <f t="shared" si="53"/>
        <v>2.8332222222221187E-2</v>
      </c>
      <c r="T99" s="51"/>
      <c r="U99" s="56">
        <f t="shared" ref="U99:U103" si="61">$U$89+((Q99-$Q$89)/(($B$7)*(36)))</f>
        <v>-2.8332222222221187E-2</v>
      </c>
      <c r="V99" s="56">
        <f t="shared" ref="V99:V104" si="62">$V$89+((Q99-$Q$89)/(($B$7)*(36)))</f>
        <v>-2.8332222222221187E-2</v>
      </c>
      <c r="W99" s="56">
        <f t="shared" ref="W99:W104" si="63">$W$89+((Q99-$Q$89)/(($B$7)*(36)))</f>
        <v>-2.8332222222221187E-2</v>
      </c>
      <c r="X99" s="52">
        <v>-0.04</v>
      </c>
      <c r="Y99" s="68"/>
      <c r="Z99" s="8"/>
      <c r="AA99" s="8"/>
    </row>
    <row r="100" spans="9:27" x14ac:dyDescent="0.3">
      <c r="I100" s="67"/>
      <c r="J100" s="52">
        <v>-0.04</v>
      </c>
      <c r="K100" s="56">
        <f t="shared" si="58"/>
        <v>2.5554444444443408E-2</v>
      </c>
      <c r="L100" s="56">
        <f t="shared" si="59"/>
        <v>2.5554444444443408E-2</v>
      </c>
      <c r="M100" s="56">
        <f t="shared" si="60"/>
        <v>2.5554444444443408E-2</v>
      </c>
      <c r="N100" s="51"/>
      <c r="O100" s="56">
        <f t="shared" si="57"/>
        <v>-2.5554444444443408E-2</v>
      </c>
      <c r="P100" s="59">
        <v>-0.04</v>
      </c>
      <c r="Q100" s="50">
        <v>131850</v>
      </c>
      <c r="R100" s="59">
        <v>-0.04</v>
      </c>
      <c r="S100" s="56">
        <f t="shared" si="53"/>
        <v>2.5554444444443408E-2</v>
      </c>
      <c r="T100" s="51"/>
      <c r="U100" s="56">
        <f t="shared" si="61"/>
        <v>-2.5554444444443408E-2</v>
      </c>
      <c r="V100" s="56">
        <f t="shared" si="62"/>
        <v>-2.5554444444443408E-2</v>
      </c>
      <c r="W100" s="56">
        <f t="shared" si="63"/>
        <v>-2.5554444444443408E-2</v>
      </c>
      <c r="X100" s="52">
        <v>-0.04</v>
      </c>
      <c r="Y100" s="68"/>
      <c r="Z100" s="8"/>
      <c r="AA100" s="8"/>
    </row>
    <row r="101" spans="9:27" x14ac:dyDescent="0.3">
      <c r="I101" s="67"/>
      <c r="J101" s="52">
        <v>-0.04</v>
      </c>
      <c r="K101" s="56">
        <f t="shared" si="58"/>
        <v>2.277666666666563E-2</v>
      </c>
      <c r="L101" s="56">
        <f t="shared" si="59"/>
        <v>2.277666666666563E-2</v>
      </c>
      <c r="M101" s="56">
        <f t="shared" si="60"/>
        <v>2.277666666666563E-2</v>
      </c>
      <c r="N101" s="51"/>
      <c r="O101" s="56">
        <f t="shared" si="57"/>
        <v>-2.277666666666563E-2</v>
      </c>
      <c r="P101" s="59">
        <v>-0.04</v>
      </c>
      <c r="Q101" s="50">
        <v>131875</v>
      </c>
      <c r="R101" s="59">
        <v>-0.04</v>
      </c>
      <c r="S101" s="56">
        <f t="shared" si="53"/>
        <v>2.277666666666563E-2</v>
      </c>
      <c r="T101" s="51"/>
      <c r="U101" s="56">
        <f t="shared" si="61"/>
        <v>-2.277666666666563E-2</v>
      </c>
      <c r="V101" s="56">
        <f t="shared" si="62"/>
        <v>-2.277666666666563E-2</v>
      </c>
      <c r="W101" s="56">
        <f t="shared" si="63"/>
        <v>-2.277666666666563E-2</v>
      </c>
      <c r="X101" s="52">
        <v>-0.04</v>
      </c>
      <c r="Y101" s="68"/>
      <c r="Z101" s="8"/>
      <c r="AA101" s="8"/>
    </row>
    <row r="102" spans="9:27" x14ac:dyDescent="0.3">
      <c r="I102" s="67"/>
      <c r="J102" s="52">
        <v>-0.04</v>
      </c>
      <c r="K102" s="56">
        <f t="shared" si="58"/>
        <v>1.9998888888887852E-2</v>
      </c>
      <c r="L102" s="56">
        <f t="shared" si="59"/>
        <v>1.9998888888887852E-2</v>
      </c>
      <c r="M102" s="56">
        <f t="shared" si="60"/>
        <v>1.9998888888887852E-2</v>
      </c>
      <c r="N102" s="51"/>
      <c r="O102" s="56">
        <f t="shared" si="57"/>
        <v>-1.9998888888887852E-2</v>
      </c>
      <c r="P102" s="59">
        <v>-0.04</v>
      </c>
      <c r="Q102" s="50">
        <v>131900</v>
      </c>
      <c r="R102" s="59">
        <v>-0.04</v>
      </c>
      <c r="S102" s="56">
        <f t="shared" si="53"/>
        <v>1.9998888888887852E-2</v>
      </c>
      <c r="T102" s="51"/>
      <c r="U102" s="56">
        <f t="shared" si="61"/>
        <v>-1.9998888888887852E-2</v>
      </c>
      <c r="V102" s="56">
        <f t="shared" si="62"/>
        <v>-1.9998888888887852E-2</v>
      </c>
      <c r="W102" s="56">
        <f t="shared" si="63"/>
        <v>-1.9998888888887852E-2</v>
      </c>
      <c r="X102" s="52">
        <v>-0.04</v>
      </c>
      <c r="Y102" s="68"/>
      <c r="Z102" s="8"/>
      <c r="AA102" s="8"/>
    </row>
    <row r="103" spans="9:27" x14ac:dyDescent="0.3">
      <c r="I103" s="67"/>
      <c r="J103" s="52">
        <v>-0.04</v>
      </c>
      <c r="K103" s="56">
        <f t="shared" si="58"/>
        <v>1.7221111111110077E-2</v>
      </c>
      <c r="L103" s="56">
        <f t="shared" si="59"/>
        <v>1.7221111111110077E-2</v>
      </c>
      <c r="M103" s="56">
        <f t="shared" si="60"/>
        <v>1.7221111111110077E-2</v>
      </c>
      <c r="N103" s="51"/>
      <c r="O103" s="56">
        <f t="shared" si="57"/>
        <v>-1.7221111111110077E-2</v>
      </c>
      <c r="P103" s="59">
        <v>-0.04</v>
      </c>
      <c r="Q103" s="50">
        <v>131925</v>
      </c>
      <c r="R103" s="59">
        <v>-0.04</v>
      </c>
      <c r="S103" s="56">
        <f t="shared" si="53"/>
        <v>1.7221111111110077E-2</v>
      </c>
      <c r="T103" s="51"/>
      <c r="U103" s="56">
        <f t="shared" si="61"/>
        <v>-1.7221111111110077E-2</v>
      </c>
      <c r="V103" s="56">
        <f t="shared" si="62"/>
        <v>-1.7221111111110077E-2</v>
      </c>
      <c r="W103" s="56">
        <f t="shared" si="63"/>
        <v>-1.7221111111110077E-2</v>
      </c>
      <c r="X103" s="52">
        <v>-0.04</v>
      </c>
      <c r="Y103" s="68"/>
      <c r="Z103" s="8"/>
      <c r="AA103" s="8"/>
    </row>
    <row r="104" spans="9:27" x14ac:dyDescent="0.3">
      <c r="I104" s="67"/>
      <c r="J104" s="52">
        <v>-0.04</v>
      </c>
      <c r="K104" s="56">
        <f>$K$89-((Q104-$Q$89)/((36)*($B$7)))</f>
        <v>1.6E-2</v>
      </c>
      <c r="L104" s="56">
        <f t="shared" si="59"/>
        <v>1.6E-2</v>
      </c>
      <c r="M104" s="56">
        <f t="shared" si="60"/>
        <v>1.6E-2</v>
      </c>
      <c r="N104" s="51"/>
      <c r="O104" s="56">
        <f>-M104</f>
        <v>-1.6E-2</v>
      </c>
      <c r="P104" s="59">
        <v>-0.04</v>
      </c>
      <c r="Q104" s="62">
        <f>Q89+B15</f>
        <v>131935.99</v>
      </c>
      <c r="R104" s="59">
        <v>-0.04</v>
      </c>
      <c r="S104" s="56">
        <f>-U104</f>
        <v>1.6E-2</v>
      </c>
      <c r="T104" s="51"/>
      <c r="U104" s="56">
        <f>$U$89+((Q104-$Q$89)/(($B$7)*(36)))</f>
        <v>-1.6E-2</v>
      </c>
      <c r="V104" s="56">
        <f t="shared" si="62"/>
        <v>-1.6E-2</v>
      </c>
      <c r="W104" s="56">
        <f t="shared" si="63"/>
        <v>-1.6E-2</v>
      </c>
      <c r="X104" s="52">
        <v>-0.04</v>
      </c>
      <c r="Y104" s="68"/>
      <c r="Z104" s="8"/>
      <c r="AA104" s="8"/>
    </row>
    <row r="105" spans="9:27" x14ac:dyDescent="0.3">
      <c r="I105" s="67"/>
      <c r="J105" s="52">
        <v>-0.04</v>
      </c>
      <c r="K105" s="56">
        <f>$K$104-((Q105-$Q$104)/((24)*($B$7)))</f>
        <v>1.3664999999998447E-2</v>
      </c>
      <c r="L105" s="56">
        <f>$L$104-((Q105-$Q$104)/((24)*($B$7)))</f>
        <v>1.3664999999998447E-2</v>
      </c>
      <c r="M105" s="48">
        <v>1.6E-2</v>
      </c>
      <c r="N105" s="51"/>
      <c r="O105" s="59">
        <f t="shared" si="57"/>
        <v>-1.6E-2</v>
      </c>
      <c r="P105" s="59">
        <v>-0.04</v>
      </c>
      <c r="Q105" s="50">
        <v>131950</v>
      </c>
      <c r="R105" s="59">
        <v>-0.04</v>
      </c>
      <c r="S105" s="56">
        <f>-U105</f>
        <v>1.1329999999996895E-2</v>
      </c>
      <c r="T105" s="109"/>
      <c r="U105" s="56">
        <f>$U$104+((Q105-$Q$104)/((12)*($B$7)))</f>
        <v>-1.1329999999996895E-2</v>
      </c>
      <c r="V105" s="59">
        <v>-1.6E-2</v>
      </c>
      <c r="W105" s="59">
        <v>-1.6E-2</v>
      </c>
      <c r="X105" s="52">
        <v>-0.04</v>
      </c>
      <c r="Y105" s="68"/>
      <c r="Z105" s="8"/>
      <c r="AA105" s="8"/>
    </row>
    <row r="106" spans="9:27" x14ac:dyDescent="0.3">
      <c r="I106" s="67"/>
      <c r="J106" s="52">
        <v>-0.04</v>
      </c>
      <c r="K106" s="56">
        <f t="shared" ref="K106:K107" si="64">$K$104-((Q106-$Q$104)/((24)*($B$7)))</f>
        <v>9.4983333333317817E-3</v>
      </c>
      <c r="L106" s="56">
        <f t="shared" ref="L106:L107" si="65">$L$104-((Q106-$Q$104)/((24)*($B$7)))</f>
        <v>9.4983333333317817E-3</v>
      </c>
      <c r="M106" s="48">
        <v>1.6E-2</v>
      </c>
      <c r="N106" s="51"/>
      <c r="O106" s="59">
        <f t="shared" si="57"/>
        <v>-1.6E-2</v>
      </c>
      <c r="P106" s="59">
        <v>-0.04</v>
      </c>
      <c r="Q106" s="50">
        <v>131975</v>
      </c>
      <c r="R106" s="59">
        <v>-0.04</v>
      </c>
      <c r="S106" s="56">
        <f t="shared" ref="S106:S109" si="66">-U106</f>
        <v>2.9966666666635632E-3</v>
      </c>
      <c r="T106" s="109"/>
      <c r="U106" s="56">
        <f t="shared" ref="U106:U110" si="67">$U$104+((Q106-$Q$104)/((12)*($B$7)))</f>
        <v>-2.9966666666635632E-3</v>
      </c>
      <c r="V106" s="59">
        <v>-1.6E-2</v>
      </c>
      <c r="W106" s="59">
        <v>-1.6E-2</v>
      </c>
      <c r="X106" s="52">
        <v>-0.04</v>
      </c>
      <c r="Y106" s="68"/>
      <c r="Z106" s="8"/>
      <c r="AA106" s="8"/>
    </row>
    <row r="107" spans="9:27" x14ac:dyDescent="0.3">
      <c r="I107" s="70" t="s">
        <v>83</v>
      </c>
      <c r="J107" s="52">
        <v>-0.04</v>
      </c>
      <c r="K107" s="56">
        <f t="shared" si="64"/>
        <v>8.0000000000000002E-3</v>
      </c>
      <c r="L107" s="56">
        <f t="shared" si="65"/>
        <v>8.0000000000000002E-3</v>
      </c>
      <c r="M107" s="48">
        <v>1.6E-2</v>
      </c>
      <c r="N107" s="51"/>
      <c r="O107" s="59">
        <f t="shared" si="57"/>
        <v>-1.6E-2</v>
      </c>
      <c r="P107" s="59">
        <v>-0.04</v>
      </c>
      <c r="Q107" s="62">
        <f>Q104+48</f>
        <v>131983.99</v>
      </c>
      <c r="R107" s="59">
        <v>-0.04</v>
      </c>
      <c r="S107" s="56">
        <f t="shared" si="66"/>
        <v>0</v>
      </c>
      <c r="T107" s="109"/>
      <c r="U107" s="56">
        <f t="shared" si="67"/>
        <v>0</v>
      </c>
      <c r="V107" s="59">
        <v>-1.6E-2</v>
      </c>
      <c r="W107" s="59">
        <v>-1.6E-2</v>
      </c>
      <c r="X107" s="52">
        <v>-0.04</v>
      </c>
      <c r="Y107" s="68" t="s">
        <v>81</v>
      </c>
      <c r="Z107" s="8"/>
      <c r="AA107" s="8"/>
    </row>
    <row r="108" spans="9:27" x14ac:dyDescent="0.3">
      <c r="I108" s="67"/>
      <c r="J108" s="52">
        <v>-0.04</v>
      </c>
      <c r="K108" s="56">
        <f t="shared" ref="K108:K110" si="68">$K$104-((Q108-$Q$104)/((24)*($B$7)))</f>
        <v>5.3316666666651143E-3</v>
      </c>
      <c r="L108" s="56">
        <f t="shared" ref="L108:L110" si="69">$L$104-((Q108-$Q$104)/((24)*($B$7)))</f>
        <v>5.3316666666651143E-3</v>
      </c>
      <c r="M108" s="48">
        <v>1.6E-2</v>
      </c>
      <c r="N108" s="51"/>
      <c r="O108" s="59">
        <f t="shared" si="57"/>
        <v>-1.6E-2</v>
      </c>
      <c r="P108" s="59">
        <v>-0.04</v>
      </c>
      <c r="Q108" s="50">
        <v>132000</v>
      </c>
      <c r="R108" s="59">
        <v>-0.04</v>
      </c>
      <c r="S108" s="56">
        <f t="shared" si="66"/>
        <v>-5.3366666666697718E-3</v>
      </c>
      <c r="T108" s="109"/>
      <c r="U108" s="56">
        <f t="shared" si="67"/>
        <v>5.3366666666697718E-3</v>
      </c>
      <c r="V108" s="59">
        <v>-1.6E-2</v>
      </c>
      <c r="W108" s="59">
        <v>-1.6E-2</v>
      </c>
      <c r="X108" s="52">
        <v>-0.04</v>
      </c>
      <c r="Y108" s="68"/>
      <c r="Z108" s="8"/>
      <c r="AA108" s="8"/>
    </row>
    <row r="109" spans="9:27" x14ac:dyDescent="0.3">
      <c r="I109" s="67"/>
      <c r="J109" s="52">
        <v>-0.04</v>
      </c>
      <c r="K109" s="56">
        <f t="shared" si="68"/>
        <v>1.1649999999984485E-3</v>
      </c>
      <c r="L109" s="56">
        <f t="shared" si="69"/>
        <v>1.1649999999984485E-3</v>
      </c>
      <c r="M109" s="48">
        <v>1.6E-2</v>
      </c>
      <c r="N109" s="51"/>
      <c r="O109" s="59">
        <f t="shared" si="57"/>
        <v>-1.6E-2</v>
      </c>
      <c r="P109" s="59">
        <v>-0.04</v>
      </c>
      <c r="Q109" s="50">
        <v>132025</v>
      </c>
      <c r="R109" s="59">
        <v>-0.04</v>
      </c>
      <c r="S109" s="56">
        <f t="shared" si="66"/>
        <v>-1.3670000000003103E-2</v>
      </c>
      <c r="T109" s="109"/>
      <c r="U109" s="56">
        <f t="shared" si="67"/>
        <v>1.3670000000003103E-2</v>
      </c>
      <c r="V109" s="59">
        <v>-1.6E-2</v>
      </c>
      <c r="W109" s="59">
        <v>-1.6E-2</v>
      </c>
      <c r="X109" s="52">
        <v>-0.04</v>
      </c>
      <c r="Y109" s="68"/>
      <c r="Z109" s="8"/>
      <c r="AA109" s="8"/>
    </row>
    <row r="110" spans="9:27" x14ac:dyDescent="0.3">
      <c r="I110" s="70" t="s">
        <v>84</v>
      </c>
      <c r="J110" s="52">
        <v>-0.04</v>
      </c>
      <c r="K110" s="56">
        <f t="shared" si="68"/>
        <v>0</v>
      </c>
      <c r="L110" s="56">
        <f t="shared" si="69"/>
        <v>0</v>
      </c>
      <c r="M110" s="48">
        <v>1.6E-2</v>
      </c>
      <c r="N110" s="51"/>
      <c r="O110" s="59">
        <f t="shared" si="57"/>
        <v>-1.6E-2</v>
      </c>
      <c r="P110" s="59">
        <v>-0.04</v>
      </c>
      <c r="Q110" s="62">
        <f>Q96+B17</f>
        <v>132031.99</v>
      </c>
      <c r="R110" s="59">
        <v>-0.04</v>
      </c>
      <c r="S110" s="56">
        <f t="shared" ref="S110:S115" si="70">-U110</f>
        <v>-1.6E-2</v>
      </c>
      <c r="T110" s="109"/>
      <c r="U110" s="56">
        <f t="shared" si="67"/>
        <v>1.6E-2</v>
      </c>
      <c r="V110" s="59">
        <v>-1.6E-2</v>
      </c>
      <c r="W110" s="59">
        <v>-1.6E-2</v>
      </c>
      <c r="X110" s="52">
        <v>-0.04</v>
      </c>
      <c r="Y110" s="68" t="s">
        <v>109</v>
      </c>
      <c r="Z110" s="8"/>
      <c r="AA110" s="8"/>
    </row>
    <row r="111" spans="9:27" x14ac:dyDescent="0.3">
      <c r="I111" s="67"/>
      <c r="J111" s="52">
        <v>-0.04</v>
      </c>
      <c r="K111" s="56">
        <f t="shared" ref="K111:K113" si="71">$K$104-((Q111-$Q$104)/((24)*($B$7)))</f>
        <v>-3.0016666666682172E-3</v>
      </c>
      <c r="L111" s="56">
        <f t="shared" ref="L111:L113" si="72">$L$104-((Q111-$Q$104)/((24)*($B$7)))</f>
        <v>-3.0016666666682172E-3</v>
      </c>
      <c r="M111" s="48">
        <v>1.6E-2</v>
      </c>
      <c r="N111" s="51"/>
      <c r="O111" s="48">
        <f t="shared" si="57"/>
        <v>-1.6E-2</v>
      </c>
      <c r="P111" s="59">
        <v>-0.04</v>
      </c>
      <c r="Q111" s="50">
        <v>132050</v>
      </c>
      <c r="R111" s="59">
        <v>-0.04</v>
      </c>
      <c r="S111" s="59">
        <f t="shared" si="70"/>
        <v>-1.6E-2</v>
      </c>
      <c r="T111" s="109"/>
      <c r="U111" s="59">
        <v>1.6E-2</v>
      </c>
      <c r="V111" s="59">
        <v>-1.6E-2</v>
      </c>
      <c r="W111" s="59">
        <v>-1.6E-2</v>
      </c>
      <c r="X111" s="52">
        <v>-0.04</v>
      </c>
      <c r="Y111" s="68"/>
      <c r="Z111" s="8"/>
      <c r="AA111" s="8"/>
    </row>
    <row r="112" spans="9:27" x14ac:dyDescent="0.3">
      <c r="I112" s="67"/>
      <c r="J112" s="52">
        <v>-0.04</v>
      </c>
      <c r="K112" s="56">
        <f t="shared" si="71"/>
        <v>-7.1683333333348864E-3</v>
      </c>
      <c r="L112" s="56">
        <f t="shared" si="72"/>
        <v>-7.1683333333348864E-3</v>
      </c>
      <c r="M112" s="48">
        <v>1.6E-2</v>
      </c>
      <c r="N112" s="51"/>
      <c r="O112" s="48">
        <f t="shared" si="57"/>
        <v>-1.6E-2</v>
      </c>
      <c r="P112" s="59">
        <v>-0.04</v>
      </c>
      <c r="Q112" s="50">
        <v>132075</v>
      </c>
      <c r="R112" s="59">
        <v>-0.04</v>
      </c>
      <c r="S112" s="59">
        <f t="shared" si="70"/>
        <v>-1.6E-2</v>
      </c>
      <c r="T112" s="109"/>
      <c r="U112" s="59">
        <v>1.6E-2</v>
      </c>
      <c r="V112" s="59">
        <v>-1.6E-2</v>
      </c>
      <c r="W112" s="59">
        <v>-1.6E-2</v>
      </c>
      <c r="X112" s="52">
        <v>-0.04</v>
      </c>
      <c r="Y112" s="68"/>
      <c r="Z112" s="8"/>
      <c r="AA112" s="8"/>
    </row>
    <row r="113" spans="9:27" x14ac:dyDescent="0.3">
      <c r="I113" s="67"/>
      <c r="J113" s="52">
        <v>-0.04</v>
      </c>
      <c r="K113" s="56">
        <f t="shared" si="71"/>
        <v>-1.1335000000001552E-2</v>
      </c>
      <c r="L113" s="56">
        <f t="shared" si="72"/>
        <v>-1.1335000000001552E-2</v>
      </c>
      <c r="M113" s="48">
        <v>1.6E-2</v>
      </c>
      <c r="N113" s="51"/>
      <c r="O113" s="48">
        <f t="shared" si="57"/>
        <v>-1.6E-2</v>
      </c>
      <c r="P113" s="59">
        <v>-0.04</v>
      </c>
      <c r="Q113" s="50">
        <v>132100</v>
      </c>
      <c r="R113" s="59">
        <v>-0.04</v>
      </c>
      <c r="S113" s="59">
        <f t="shared" si="70"/>
        <v>-1.6E-2</v>
      </c>
      <c r="T113" s="109"/>
      <c r="U113" s="59">
        <v>1.6E-2</v>
      </c>
      <c r="V113" s="59">
        <v>-1.6E-2</v>
      </c>
      <c r="W113" s="59">
        <v>-1.6E-2</v>
      </c>
      <c r="X113" s="52">
        <v>-0.04</v>
      </c>
      <c r="Y113" s="68"/>
      <c r="Z113" s="8"/>
      <c r="AA113" s="8"/>
    </row>
    <row r="114" spans="9:27" x14ac:dyDescent="0.3">
      <c r="I114" s="67"/>
      <c r="J114" s="52">
        <v>-0.04</v>
      </c>
      <c r="K114" s="56">
        <f>$K$104-((Q114-$Q$104)/((24)*($B$7)))</f>
        <v>-1.5501666666668218E-2</v>
      </c>
      <c r="L114" s="56">
        <f>$L$104-((Q114-$Q$104)/((24)*($B$7)))</f>
        <v>-1.5501666666668218E-2</v>
      </c>
      <c r="M114" s="48">
        <v>1.6E-2</v>
      </c>
      <c r="N114" s="51"/>
      <c r="O114" s="48">
        <f t="shared" si="57"/>
        <v>-1.6E-2</v>
      </c>
      <c r="P114" s="59">
        <v>-0.04</v>
      </c>
      <c r="Q114" s="50">
        <v>132125</v>
      </c>
      <c r="R114" s="59">
        <v>-0.04</v>
      </c>
      <c r="S114" s="59">
        <f t="shared" si="70"/>
        <v>-1.6E-2</v>
      </c>
      <c r="T114" s="109"/>
      <c r="U114" s="59">
        <v>1.6E-2</v>
      </c>
      <c r="V114" s="59">
        <v>-1.6E-2</v>
      </c>
      <c r="W114" s="59">
        <v>-1.6E-2</v>
      </c>
      <c r="X114" s="52">
        <v>-0.04</v>
      </c>
      <c r="Y114" s="68"/>
      <c r="Z114" s="8"/>
      <c r="AA114" s="8"/>
    </row>
    <row r="115" spans="9:27" ht="15" thickBot="1" x14ac:dyDescent="0.35">
      <c r="I115" s="73"/>
      <c r="J115" s="74">
        <v>-0.04</v>
      </c>
      <c r="K115" s="79">
        <f t="shared" ref="K115" si="73">$K$104-((Q115-$Q$104)/((24)*($B$7)))</f>
        <v>-1.6E-2</v>
      </c>
      <c r="L115" s="79">
        <f>$L$104-((Q115-$Q$104)/((24)*($B$7)))</f>
        <v>-1.6E-2</v>
      </c>
      <c r="M115" s="75">
        <v>1.6E-2</v>
      </c>
      <c r="N115" s="76"/>
      <c r="O115" s="75">
        <f t="shared" si="57"/>
        <v>-1.6E-2</v>
      </c>
      <c r="P115" s="77">
        <v>-0.04</v>
      </c>
      <c r="Q115" s="78">
        <f>Q110+B12</f>
        <v>132127.99</v>
      </c>
      <c r="R115" s="77">
        <v>-0.04</v>
      </c>
      <c r="S115" s="77">
        <f t="shared" si="70"/>
        <v>-1.6E-2</v>
      </c>
      <c r="T115" s="110"/>
      <c r="U115" s="77">
        <v>1.6E-2</v>
      </c>
      <c r="V115" s="77">
        <v>-1.6E-2</v>
      </c>
      <c r="W115" s="77">
        <v>-1.6E-2</v>
      </c>
      <c r="X115" s="74">
        <v>-0.04</v>
      </c>
      <c r="Y115" s="80"/>
      <c r="Z115" s="8"/>
      <c r="AA115" s="8"/>
    </row>
    <row r="116" spans="9:27" x14ac:dyDescent="0.3">
      <c r="I116" s="8"/>
      <c r="J116" s="1"/>
      <c r="K116" s="1"/>
      <c r="L116" s="1"/>
      <c r="M116" s="1"/>
      <c r="N116" s="1"/>
      <c r="O116" s="1"/>
      <c r="P116" s="1"/>
      <c r="Q116" s="42"/>
      <c r="R116" s="1"/>
      <c r="S116" s="1"/>
      <c r="T116" s="1"/>
      <c r="Y116" s="35"/>
      <c r="Z116" s="8"/>
      <c r="AA116" s="8"/>
    </row>
    <row r="117" spans="9:27" x14ac:dyDescent="0.3">
      <c r="I117" s="8"/>
      <c r="J117" s="1"/>
      <c r="K117" s="1"/>
      <c r="L117" s="1"/>
      <c r="M117" s="1"/>
      <c r="N117" s="1"/>
      <c r="O117" s="1"/>
      <c r="P117" s="1"/>
      <c r="Q117" s="42"/>
      <c r="R117" s="1"/>
      <c r="S117" s="1"/>
      <c r="T117" s="1"/>
      <c r="Y117" s="35"/>
      <c r="Z117" s="8"/>
      <c r="AA117" s="8"/>
    </row>
    <row r="118" spans="9:27" x14ac:dyDescent="0.3">
      <c r="I118" s="8"/>
      <c r="J118" s="1"/>
      <c r="K118" s="1"/>
      <c r="L118" s="1"/>
      <c r="M118" s="1"/>
      <c r="N118" s="1"/>
      <c r="O118" s="1"/>
      <c r="P118" s="1"/>
      <c r="Q118" s="42"/>
      <c r="R118" s="1"/>
      <c r="S118" s="1"/>
      <c r="T118" s="1"/>
      <c r="Y118" s="35"/>
      <c r="Z118" s="8"/>
      <c r="AA118" s="8"/>
    </row>
    <row r="119" spans="9:27" x14ac:dyDescent="0.3">
      <c r="I119" s="8"/>
      <c r="J119" s="1"/>
      <c r="K119" s="1"/>
      <c r="L119" s="1"/>
      <c r="M119" s="1"/>
      <c r="N119" s="1"/>
      <c r="O119" s="1"/>
      <c r="P119" s="1"/>
      <c r="Q119" s="42"/>
      <c r="Y119" s="35"/>
      <c r="Z119" s="8"/>
      <c r="AA119" s="8"/>
    </row>
    <row r="120" spans="9:27" x14ac:dyDescent="0.3">
      <c r="I120" s="8"/>
      <c r="J120" s="1"/>
      <c r="K120" s="1"/>
      <c r="L120" s="1"/>
      <c r="M120" s="1"/>
      <c r="N120" s="1"/>
      <c r="O120" s="1"/>
      <c r="P120" s="1"/>
      <c r="Q120" s="42"/>
      <c r="Y120" s="35"/>
      <c r="Z120" s="8"/>
      <c r="AA120" s="8"/>
    </row>
    <row r="121" spans="9:27" x14ac:dyDescent="0.3">
      <c r="I121" s="8"/>
      <c r="J121" s="1"/>
      <c r="K121" s="1"/>
      <c r="L121" s="1"/>
      <c r="M121" s="1"/>
      <c r="N121" s="1"/>
      <c r="O121" s="1"/>
      <c r="P121" s="1"/>
      <c r="Q121" s="42"/>
      <c r="Y121" s="35"/>
      <c r="Z121" s="8"/>
      <c r="AA121" s="8"/>
    </row>
    <row r="122" spans="9:27" x14ac:dyDescent="0.3">
      <c r="I122" s="8"/>
      <c r="J122" s="1"/>
      <c r="K122" s="1"/>
      <c r="L122" s="1"/>
      <c r="M122" s="1"/>
      <c r="N122" s="1"/>
      <c r="O122" s="1"/>
      <c r="P122" s="1"/>
      <c r="Q122" s="42"/>
      <c r="Y122" s="35"/>
      <c r="Z122" s="8"/>
      <c r="AA122" s="8"/>
    </row>
    <row r="123" spans="9:27" x14ac:dyDescent="0.3">
      <c r="I123" s="8"/>
      <c r="J123" s="1"/>
      <c r="K123" s="1"/>
      <c r="L123" s="1"/>
      <c r="M123" s="1"/>
      <c r="N123" s="1"/>
      <c r="O123" s="1"/>
      <c r="P123" s="1"/>
      <c r="Q123" s="42"/>
      <c r="Y123" s="35"/>
      <c r="Z123" s="8"/>
      <c r="AA123" s="8"/>
    </row>
  </sheetData>
  <mergeCells count="10">
    <mergeCell ref="D29:F34"/>
    <mergeCell ref="J50:P50"/>
    <mergeCell ref="R50:X50"/>
    <mergeCell ref="J83:X85"/>
    <mergeCell ref="A1:C1"/>
    <mergeCell ref="A11:C11"/>
    <mergeCell ref="D11:F11"/>
    <mergeCell ref="D12:F19"/>
    <mergeCell ref="A28:C28"/>
    <mergeCell ref="D28:F28"/>
  </mergeCells>
  <pageMargins left="0.7" right="0.7" top="0.75" bottom="0.75" header="0.3" footer="0.3"/>
  <pageSetup orientation="portrait" r:id="rId1"/>
  <ignoredErrors>
    <ignoredError sqref="Q8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FD20D-07A8-445B-8392-2F2E467BC3BB}">
  <dimension ref="A1:AA109"/>
  <sheetViews>
    <sheetView topLeftCell="I78" zoomScale="130" zoomScaleNormal="130" workbookViewId="0">
      <selection activeCell="N83" sqref="N83"/>
    </sheetView>
  </sheetViews>
  <sheetFormatPr defaultRowHeight="14.4" x14ac:dyDescent="0.3"/>
  <cols>
    <col min="1" max="2" width="17.77734375" style="8" bestFit="1" customWidth="1"/>
    <col min="3" max="3" width="59.77734375" style="8" customWidth="1"/>
    <col min="4" max="5" width="17.77734375" style="8" customWidth="1"/>
    <col min="6" max="6" width="59.77734375" style="8" customWidth="1"/>
    <col min="7" max="7" width="7.109375" style="8" bestFit="1" customWidth="1"/>
    <col min="8" max="8" width="15.6640625" style="8" customWidth="1"/>
    <col min="9" max="9" width="55.88671875" bestFit="1" customWidth="1"/>
    <col min="10" max="10" width="11.109375" style="40" bestFit="1" customWidth="1"/>
    <col min="11" max="13" width="12.33203125" style="40" bestFit="1" customWidth="1"/>
    <col min="14" max="14" width="19.88671875" style="40" bestFit="1" customWidth="1"/>
    <col min="15" max="15" width="12.44140625" style="40" bestFit="1" customWidth="1"/>
    <col min="16" max="16" width="17.33203125" style="40" bestFit="1" customWidth="1"/>
    <col min="17" max="17" width="23" style="41" bestFit="1" customWidth="1"/>
    <col min="18" max="18" width="17" style="42" bestFit="1" customWidth="1"/>
    <col min="19" max="19" width="19.88671875" style="42" bestFit="1" customWidth="1"/>
    <col min="20" max="20" width="19.88671875" style="42" customWidth="1"/>
    <col min="21" max="21" width="12.44140625" style="1" bestFit="1" customWidth="1"/>
    <col min="22" max="23" width="12.44140625" style="1" customWidth="1"/>
    <col min="24" max="24" width="11.109375" style="1" customWidth="1"/>
    <col min="25" max="25" width="45.77734375" style="45" bestFit="1" customWidth="1"/>
  </cols>
  <sheetData>
    <row r="1" spans="1:27" ht="63" customHeight="1" thickBot="1" x14ac:dyDescent="0.35">
      <c r="A1" s="167" t="s">
        <v>113</v>
      </c>
      <c r="B1" s="168"/>
      <c r="C1" s="168"/>
      <c r="D1" s="81"/>
      <c r="E1" s="81"/>
      <c r="F1" s="81"/>
      <c r="G1" s="81"/>
      <c r="H1" s="81"/>
      <c r="I1" s="81"/>
    </row>
    <row r="2" spans="1:27" x14ac:dyDescent="0.3">
      <c r="A2" s="43" t="s">
        <v>42</v>
      </c>
      <c r="B2" s="90">
        <v>134075.22</v>
      </c>
      <c r="C2" s="82"/>
      <c r="D2"/>
      <c r="E2"/>
      <c r="F2"/>
      <c r="G2"/>
      <c r="H2"/>
    </row>
    <row r="3" spans="1:27" x14ac:dyDescent="0.3">
      <c r="A3" s="44" t="s">
        <v>43</v>
      </c>
      <c r="B3" s="91">
        <v>133316.45000000001</v>
      </c>
      <c r="C3" s="83"/>
      <c r="D3"/>
      <c r="E3"/>
      <c r="F3"/>
      <c r="G3"/>
      <c r="H3"/>
    </row>
    <row r="4" spans="1:27" x14ac:dyDescent="0.3">
      <c r="A4" s="44" t="s">
        <v>44</v>
      </c>
      <c r="B4" s="91">
        <v>134825.20000000001</v>
      </c>
      <c r="C4" s="83"/>
      <c r="D4"/>
      <c r="E4" s="125">
        <f>B4-B3</f>
        <v>1508.75</v>
      </c>
      <c r="F4"/>
      <c r="G4"/>
      <c r="H4"/>
    </row>
    <row r="5" spans="1:27" ht="16.2" x14ac:dyDescent="0.3">
      <c r="A5" s="44" t="s">
        <v>1</v>
      </c>
      <c r="B5" s="37" t="s">
        <v>111</v>
      </c>
      <c r="C5" s="83" t="s">
        <v>103</v>
      </c>
      <c r="D5"/>
      <c r="E5"/>
      <c r="F5"/>
      <c r="G5"/>
      <c r="H5"/>
    </row>
    <row r="6" spans="1:27" x14ac:dyDescent="0.3">
      <c r="A6" s="44" t="s">
        <v>45</v>
      </c>
      <c r="B6" s="37" t="s">
        <v>6</v>
      </c>
      <c r="C6" s="83"/>
      <c r="D6"/>
      <c r="E6"/>
      <c r="F6"/>
      <c r="G6"/>
      <c r="H6"/>
    </row>
    <row r="7" spans="1:27" x14ac:dyDescent="0.3">
      <c r="A7" s="44" t="s">
        <v>46</v>
      </c>
      <c r="B7" s="37">
        <v>250</v>
      </c>
      <c r="C7" s="83"/>
      <c r="D7"/>
      <c r="E7"/>
      <c r="F7"/>
      <c r="G7"/>
      <c r="H7"/>
    </row>
    <row r="8" spans="1:27" x14ac:dyDescent="0.3">
      <c r="A8" s="44" t="s">
        <v>8</v>
      </c>
      <c r="B8" s="38" t="s">
        <v>110</v>
      </c>
      <c r="C8" s="37" t="s">
        <v>48</v>
      </c>
      <c r="I8" s="8"/>
      <c r="K8" s="1"/>
      <c r="L8" s="1"/>
      <c r="M8" s="1"/>
      <c r="N8" s="1"/>
      <c r="O8" s="1"/>
      <c r="P8" s="1"/>
      <c r="Q8" s="42"/>
      <c r="Y8" s="35"/>
      <c r="Z8" s="8"/>
      <c r="AA8" s="8"/>
    </row>
    <row r="9" spans="1:27" x14ac:dyDescent="0.3">
      <c r="A9" s="44"/>
      <c r="B9" s="39">
        <v>3.3000000000000002E-2</v>
      </c>
      <c r="C9" s="83" t="s">
        <v>49</v>
      </c>
      <c r="D9"/>
      <c r="E9"/>
      <c r="F9"/>
      <c r="G9"/>
      <c r="H9"/>
      <c r="P9" s="1"/>
      <c r="Q9" s="42"/>
      <c r="Y9" s="35"/>
      <c r="Z9" s="8"/>
      <c r="AA9" s="8"/>
    </row>
    <row r="10" spans="1:27" ht="15" thickBot="1" x14ac:dyDescent="0.35">
      <c r="A10" s="44" t="s">
        <v>51</v>
      </c>
      <c r="B10" s="39">
        <v>1.6E-2</v>
      </c>
      <c r="C10" s="83"/>
      <c r="D10"/>
      <c r="E10"/>
      <c r="F10"/>
      <c r="G10"/>
      <c r="H10"/>
      <c r="P10" s="1"/>
      <c r="Q10" s="42"/>
      <c r="Y10" s="35"/>
      <c r="Z10" s="8"/>
      <c r="AA10" s="8"/>
    </row>
    <row r="11" spans="1:27" ht="15" thickBot="1" x14ac:dyDescent="0.35">
      <c r="A11" s="169" t="s">
        <v>92</v>
      </c>
      <c r="B11" s="170"/>
      <c r="C11" s="171"/>
      <c r="D11" s="169" t="s">
        <v>94</v>
      </c>
      <c r="E11" s="170"/>
      <c r="F11" s="171"/>
      <c r="G11"/>
      <c r="H11"/>
      <c r="P11" s="1"/>
      <c r="Q11" s="42"/>
      <c r="Y11" s="35"/>
      <c r="Z11" s="8"/>
      <c r="AA11" s="8"/>
    </row>
    <row r="12" spans="1:27" x14ac:dyDescent="0.3">
      <c r="A12" s="92" t="s">
        <v>50</v>
      </c>
      <c r="B12" s="84">
        <f>(24)*(B10)*(B7)</f>
        <v>96</v>
      </c>
      <c r="C12" s="84" t="s">
        <v>61</v>
      </c>
      <c r="D12" s="175"/>
      <c r="E12" s="176"/>
      <c r="F12" s="177"/>
      <c r="I12" s="8"/>
      <c r="J12" s="1"/>
      <c r="K12" s="1"/>
      <c r="L12" s="1"/>
      <c r="M12" s="1"/>
      <c r="N12" s="1"/>
      <c r="O12" s="1"/>
      <c r="P12" s="1"/>
      <c r="Q12" s="42"/>
      <c r="Y12" s="35"/>
      <c r="Z12" s="8"/>
      <c r="AA12" s="8"/>
    </row>
    <row r="13" spans="1:27" x14ac:dyDescent="0.3">
      <c r="A13" s="92" t="s">
        <v>53</v>
      </c>
      <c r="B13" s="84" t="s">
        <v>54</v>
      </c>
      <c r="C13" s="84" t="s">
        <v>58</v>
      </c>
      <c r="D13" s="178"/>
      <c r="E13" s="179"/>
      <c r="F13" s="180"/>
      <c r="I13" s="8"/>
      <c r="J13" s="1"/>
      <c r="K13" s="1"/>
      <c r="L13" s="1"/>
      <c r="M13" s="1"/>
      <c r="N13" s="1"/>
      <c r="O13" s="1"/>
      <c r="P13" s="1"/>
      <c r="Q13" s="42"/>
      <c r="Y13" s="35"/>
      <c r="Z13" s="8"/>
      <c r="AA13" s="8"/>
    </row>
    <row r="14" spans="1:27" x14ac:dyDescent="0.3">
      <c r="A14" s="92" t="s">
        <v>55</v>
      </c>
      <c r="B14" s="84">
        <f>(24)*(B10)*(B7)</f>
        <v>96</v>
      </c>
      <c r="C14" s="84"/>
      <c r="D14" s="178"/>
      <c r="E14" s="179"/>
      <c r="F14" s="180"/>
      <c r="I14" s="8"/>
      <c r="J14" s="1"/>
      <c r="K14" s="1"/>
      <c r="L14" s="1"/>
      <c r="M14" s="1"/>
      <c r="N14" s="1"/>
      <c r="O14" s="1"/>
      <c r="P14" s="1"/>
      <c r="Q14" s="42"/>
      <c r="Y14" s="35"/>
      <c r="Z14" s="8"/>
      <c r="AA14" s="8"/>
    </row>
    <row r="15" spans="1:27" x14ac:dyDescent="0.3">
      <c r="A15" s="92" t="s">
        <v>56</v>
      </c>
      <c r="B15" s="84">
        <f>(36)*(B9-B10)*(B7)</f>
        <v>153.00000000000003</v>
      </c>
      <c r="C15" s="84" t="s">
        <v>60</v>
      </c>
      <c r="D15" s="178"/>
      <c r="E15" s="179"/>
      <c r="F15" s="180"/>
      <c r="I15" s="8"/>
      <c r="J15" s="1"/>
      <c r="K15" s="1"/>
      <c r="L15" s="1"/>
      <c r="M15" s="1"/>
      <c r="N15" s="1"/>
      <c r="O15" s="1"/>
      <c r="P15" s="1"/>
      <c r="Q15" s="42"/>
      <c r="Y15" s="35"/>
      <c r="Z15" s="8"/>
      <c r="AA15" s="8"/>
    </row>
    <row r="16" spans="1:27" x14ac:dyDescent="0.3">
      <c r="A16" s="92" t="s">
        <v>53</v>
      </c>
      <c r="B16" s="84">
        <f>B14+B15</f>
        <v>249.00000000000003</v>
      </c>
      <c r="C16" s="84"/>
      <c r="D16" s="178"/>
      <c r="E16" s="179"/>
      <c r="F16" s="180"/>
      <c r="I16" s="8"/>
      <c r="J16" s="1"/>
      <c r="K16" s="1"/>
      <c r="L16" s="1"/>
      <c r="M16" s="1"/>
      <c r="N16" s="1"/>
      <c r="O16" s="1"/>
      <c r="P16" s="1"/>
      <c r="Q16" s="42"/>
      <c r="Y16" s="35"/>
      <c r="Z16" s="8"/>
      <c r="AA16" s="8"/>
    </row>
    <row r="17" spans="1:27" x14ac:dyDescent="0.3">
      <c r="A17" s="92" t="s">
        <v>62</v>
      </c>
      <c r="B17" s="84">
        <f>(2/3)*(B16)</f>
        <v>166</v>
      </c>
      <c r="C17" s="84"/>
      <c r="D17" s="178"/>
      <c r="E17" s="179"/>
      <c r="F17" s="180"/>
      <c r="I17" s="8"/>
      <c r="J17" s="1"/>
      <c r="K17" s="1"/>
      <c r="L17" s="1"/>
      <c r="M17" s="1"/>
      <c r="N17" s="1"/>
      <c r="O17" s="1"/>
      <c r="P17" s="1"/>
      <c r="Q17" s="42"/>
      <c r="Y17" s="35"/>
      <c r="Z17" s="8"/>
      <c r="AA17" s="8"/>
    </row>
    <row r="18" spans="1:27" x14ac:dyDescent="0.3">
      <c r="A18" s="92" t="s">
        <v>86</v>
      </c>
      <c r="B18" s="84">
        <f>(1/3)*(B16)</f>
        <v>83</v>
      </c>
      <c r="C18" s="84"/>
      <c r="D18" s="178"/>
      <c r="E18" s="179"/>
      <c r="F18" s="180"/>
      <c r="I18" s="8"/>
      <c r="J18" s="1"/>
      <c r="K18" s="1"/>
      <c r="L18" s="1"/>
      <c r="M18" s="1"/>
      <c r="N18" s="1"/>
      <c r="O18" s="1"/>
      <c r="P18" s="1"/>
      <c r="Q18" s="42"/>
      <c r="Y18" s="35"/>
      <c r="Z18" s="8"/>
      <c r="AA18" s="8"/>
    </row>
    <row r="19" spans="1:27" x14ac:dyDescent="0.3">
      <c r="A19" s="98"/>
      <c r="B19" s="99"/>
      <c r="C19" s="99"/>
      <c r="D19" s="181"/>
      <c r="E19" s="182"/>
      <c r="F19" s="183"/>
      <c r="I19" s="8"/>
      <c r="J19" s="1"/>
      <c r="K19" s="1"/>
      <c r="L19" s="1"/>
      <c r="M19" s="1"/>
      <c r="N19" s="1"/>
      <c r="O19" s="1"/>
      <c r="P19" s="1"/>
      <c r="Q19" s="42"/>
      <c r="Y19" s="35"/>
      <c r="Z19" s="8"/>
      <c r="AA19" s="8"/>
    </row>
    <row r="20" spans="1:27" x14ac:dyDescent="0.3">
      <c r="A20" s="92" t="s">
        <v>88</v>
      </c>
      <c r="B20" s="94">
        <f>(B21)-B12</f>
        <v>133054.45000000001</v>
      </c>
      <c r="C20" s="84" t="s">
        <v>89</v>
      </c>
      <c r="D20" s="92" t="s">
        <v>90</v>
      </c>
      <c r="E20" s="94">
        <f>E22-(B18)</f>
        <v>134742.20000000001</v>
      </c>
      <c r="F20" s="84" t="s">
        <v>98</v>
      </c>
      <c r="I20" s="8"/>
      <c r="J20" s="1"/>
      <c r="K20" s="1"/>
      <c r="L20" s="1"/>
      <c r="M20" s="1"/>
      <c r="N20" s="1"/>
      <c r="O20" s="1"/>
      <c r="P20" s="1"/>
      <c r="Q20" s="42"/>
      <c r="Y20" s="35"/>
      <c r="Z20" s="8"/>
      <c r="AA20" s="8"/>
    </row>
    <row r="21" spans="1:27" x14ac:dyDescent="0.3">
      <c r="A21" s="92"/>
      <c r="B21" s="94">
        <f>(B25)-(B17)</f>
        <v>133150.45000000001</v>
      </c>
      <c r="C21" s="84" t="s">
        <v>96</v>
      </c>
      <c r="D21" s="92"/>
      <c r="E21" s="94"/>
      <c r="F21" s="97"/>
      <c r="I21" s="8"/>
      <c r="J21" s="1"/>
      <c r="K21" s="1"/>
      <c r="L21" s="1"/>
      <c r="M21" s="1"/>
      <c r="N21" s="1"/>
      <c r="O21" s="1"/>
      <c r="P21" s="1"/>
      <c r="Q21" s="42"/>
      <c r="Y21" s="35"/>
      <c r="Z21" s="8"/>
      <c r="AA21" s="8"/>
    </row>
    <row r="22" spans="1:27" x14ac:dyDescent="0.3">
      <c r="A22" s="92"/>
      <c r="B22" s="94">
        <f>B21+((24)*(B10-0.008)*(B7))</f>
        <v>133198.45000000001</v>
      </c>
      <c r="C22" s="96">
        <v>8.0000000000000002E-3</v>
      </c>
      <c r="D22" s="92" t="s">
        <v>44</v>
      </c>
      <c r="E22" s="94">
        <f>B4</f>
        <v>134825.20000000001</v>
      </c>
      <c r="F22" s="96" t="str">
        <f>D22</f>
        <v>PT</v>
      </c>
      <c r="I22" s="8"/>
      <c r="J22" s="1"/>
      <c r="K22" s="1"/>
      <c r="L22" s="1"/>
      <c r="M22" s="1"/>
      <c r="N22" s="1"/>
      <c r="O22" s="1"/>
      <c r="P22" s="1"/>
      <c r="Q22" s="42"/>
      <c r="Y22" s="35"/>
      <c r="Z22" s="8"/>
      <c r="AA22" s="8"/>
    </row>
    <row r="23" spans="1:27" x14ac:dyDescent="0.3">
      <c r="A23" s="92"/>
      <c r="B23" s="94">
        <f>B21+B12</f>
        <v>133246.45000000001</v>
      </c>
      <c r="C23" s="96">
        <v>1.6E-2</v>
      </c>
      <c r="D23" s="92"/>
      <c r="E23" s="94">
        <f>E20+((B9-0.03)*(36)*(B7))</f>
        <v>134769.20000000001</v>
      </c>
      <c r="F23" s="96">
        <v>0.03</v>
      </c>
      <c r="I23" s="8"/>
      <c r="J23" s="1"/>
      <c r="K23" s="1"/>
      <c r="L23" s="1"/>
      <c r="M23" s="1"/>
      <c r="N23" s="1"/>
      <c r="O23" s="1"/>
      <c r="P23" s="1"/>
      <c r="Q23" s="42"/>
      <c r="Y23" s="35"/>
      <c r="Z23" s="8"/>
      <c r="AA23" s="8"/>
    </row>
    <row r="24" spans="1:27" x14ac:dyDescent="0.3">
      <c r="A24" s="92"/>
      <c r="B24" s="94">
        <f>B23+((36)*(0.03-B10)*(B7))</f>
        <v>133372.45000000001</v>
      </c>
      <c r="C24" s="96">
        <v>0.03</v>
      </c>
      <c r="D24" s="92"/>
      <c r="E24" s="94">
        <f>E20+((B9-B10)*(36)*(B7))</f>
        <v>134895.20000000001</v>
      </c>
      <c r="F24" s="96">
        <v>1.6E-2</v>
      </c>
      <c r="I24" s="8"/>
      <c r="J24" s="1"/>
      <c r="K24" s="1"/>
      <c r="L24" s="1"/>
      <c r="M24" s="1"/>
      <c r="N24" s="1"/>
      <c r="O24" s="1"/>
      <c r="P24" s="1"/>
      <c r="Q24" s="42"/>
      <c r="Y24" s="35"/>
      <c r="Z24" s="8"/>
      <c r="AA24" s="8"/>
    </row>
    <row r="25" spans="1:27" x14ac:dyDescent="0.3">
      <c r="A25" s="92" t="s">
        <v>43</v>
      </c>
      <c r="B25" s="94">
        <f>B3</f>
        <v>133316.45000000001</v>
      </c>
      <c r="C25" s="84" t="str">
        <f>A25</f>
        <v>PC</v>
      </c>
      <c r="D25" s="92"/>
      <c r="E25" s="94">
        <f>E24+((B10-0.008)*(24)*(B7))</f>
        <v>134943.20000000001</v>
      </c>
      <c r="F25" s="96">
        <v>8.0000000000000002E-3</v>
      </c>
      <c r="G25" s="100"/>
      <c r="H25" s="100"/>
      <c r="I25" s="8"/>
      <c r="J25" s="1"/>
      <c r="K25" s="1"/>
      <c r="L25" s="1"/>
      <c r="M25" s="1"/>
      <c r="N25" s="1"/>
      <c r="O25" s="1"/>
      <c r="P25" s="1"/>
      <c r="Q25" s="42"/>
      <c r="Y25" s="35"/>
      <c r="Z25" s="8"/>
      <c r="AA25" s="8"/>
    </row>
    <row r="26" spans="1:27" x14ac:dyDescent="0.3">
      <c r="A26" s="92"/>
      <c r="B26" s="94"/>
      <c r="C26" s="97"/>
      <c r="D26" s="92"/>
      <c r="E26" s="94">
        <f>E22+B17</f>
        <v>134991.20000000001</v>
      </c>
      <c r="F26" s="97" t="s">
        <v>99</v>
      </c>
      <c r="G26" s="100">
        <f>E26-E25</f>
        <v>48</v>
      </c>
      <c r="H26" s="100" t="s">
        <v>100</v>
      </c>
      <c r="I26" s="8"/>
      <c r="J26" s="1"/>
      <c r="K26" s="1"/>
      <c r="L26" s="1"/>
      <c r="M26" s="1"/>
      <c r="N26" s="1"/>
      <c r="O26" s="1"/>
      <c r="P26" s="1"/>
      <c r="Q26" s="42"/>
      <c r="Y26" s="35"/>
      <c r="Z26" s="8"/>
      <c r="AA26" s="8"/>
    </row>
    <row r="27" spans="1:27" ht="15" thickBot="1" x14ac:dyDescent="0.35">
      <c r="A27" s="101" t="s">
        <v>90</v>
      </c>
      <c r="B27" s="102">
        <f>B25+B18</f>
        <v>133399.45000000001</v>
      </c>
      <c r="C27" s="103" t="s">
        <v>97</v>
      </c>
      <c r="D27" s="101" t="s">
        <v>88</v>
      </c>
      <c r="E27" s="102">
        <f>E26+B14</f>
        <v>135087.20000000001</v>
      </c>
      <c r="F27" s="103" t="s">
        <v>84</v>
      </c>
      <c r="G27" s="100">
        <f>E27-E20</f>
        <v>345</v>
      </c>
      <c r="H27" s="8" t="s">
        <v>100</v>
      </c>
      <c r="I27" s="8"/>
      <c r="J27" s="1"/>
      <c r="K27" s="1"/>
      <c r="L27" s="1"/>
      <c r="M27" s="1"/>
      <c r="N27" s="1"/>
      <c r="O27" s="1"/>
      <c r="P27" s="1"/>
      <c r="Q27" s="42"/>
      <c r="Y27" s="35"/>
      <c r="Z27" s="8"/>
      <c r="AA27" s="8"/>
    </row>
    <row r="28" spans="1:27" ht="15" thickBot="1" x14ac:dyDescent="0.35">
      <c r="A28" s="172" t="s">
        <v>93</v>
      </c>
      <c r="B28" s="173"/>
      <c r="C28" s="174"/>
      <c r="D28" s="172" t="s">
        <v>95</v>
      </c>
      <c r="E28" s="173"/>
      <c r="F28" s="174"/>
      <c r="I28" s="8"/>
      <c r="J28" s="1"/>
      <c r="K28" s="1"/>
      <c r="L28" s="1"/>
      <c r="M28" s="1"/>
      <c r="N28" s="1"/>
      <c r="O28" s="1"/>
      <c r="P28" s="1"/>
      <c r="Q28" s="42"/>
      <c r="Y28" s="35"/>
      <c r="Z28" s="8"/>
      <c r="AA28" s="8"/>
    </row>
    <row r="29" spans="1:27" x14ac:dyDescent="0.3">
      <c r="A29" s="104" t="s">
        <v>50</v>
      </c>
      <c r="B29" s="89">
        <f>(12)*(B10)*(B7)</f>
        <v>48</v>
      </c>
      <c r="C29" s="89" t="s">
        <v>85</v>
      </c>
      <c r="D29" s="175"/>
      <c r="E29" s="176"/>
      <c r="F29" s="177"/>
      <c r="I29" s="8"/>
      <c r="J29" s="1"/>
      <c r="K29" s="1"/>
      <c r="L29" s="1"/>
      <c r="M29" s="1"/>
      <c r="N29" s="1"/>
      <c r="O29" s="1"/>
      <c r="P29" s="1"/>
      <c r="Q29" s="42"/>
      <c r="Y29" s="35"/>
      <c r="Z29" s="8"/>
      <c r="AA29" s="8"/>
    </row>
    <row r="30" spans="1:27" x14ac:dyDescent="0.3">
      <c r="A30" s="92" t="s">
        <v>53</v>
      </c>
      <c r="B30" s="84" t="s">
        <v>54</v>
      </c>
      <c r="C30" s="84" t="s">
        <v>58</v>
      </c>
      <c r="D30" s="178"/>
      <c r="E30" s="179"/>
      <c r="F30" s="180"/>
      <c r="I30" s="8"/>
      <c r="J30" s="1"/>
      <c r="K30" s="1"/>
      <c r="L30" s="1"/>
      <c r="M30" s="1"/>
      <c r="N30" s="1"/>
      <c r="O30" s="1"/>
      <c r="P30" s="1"/>
      <c r="Q30" s="42"/>
      <c r="Y30" s="35"/>
      <c r="Z30" s="8"/>
      <c r="AA30" s="8"/>
    </row>
    <row r="31" spans="1:27" x14ac:dyDescent="0.3">
      <c r="A31" s="92" t="s">
        <v>55</v>
      </c>
      <c r="B31" s="84">
        <f>(12)*(B10)*(B7)</f>
        <v>48</v>
      </c>
      <c r="C31" s="84"/>
      <c r="D31" s="178"/>
      <c r="E31" s="179"/>
      <c r="F31" s="180"/>
      <c r="I31" s="8"/>
      <c r="J31" s="1"/>
      <c r="K31" s="1"/>
      <c r="L31" s="1"/>
      <c r="M31" s="1"/>
      <c r="N31" s="1"/>
      <c r="O31" s="1"/>
      <c r="P31" s="1"/>
      <c r="Q31" s="42"/>
      <c r="Y31" s="35"/>
      <c r="Z31" s="8"/>
      <c r="AA31" s="8"/>
    </row>
    <row r="32" spans="1:27" x14ac:dyDescent="0.3">
      <c r="A32" s="92" t="s">
        <v>56</v>
      </c>
      <c r="B32" s="84">
        <f>(36)*(B9-B10)*(B7)</f>
        <v>153.00000000000003</v>
      </c>
      <c r="C32" s="84" t="s">
        <v>60</v>
      </c>
      <c r="D32" s="178"/>
      <c r="E32" s="179"/>
      <c r="F32" s="180"/>
      <c r="I32" s="8"/>
      <c r="J32" s="1"/>
      <c r="K32" s="1"/>
      <c r="L32" s="1"/>
      <c r="M32" s="1"/>
      <c r="N32" s="1"/>
      <c r="O32" s="1"/>
      <c r="P32" s="1"/>
      <c r="Q32" s="42"/>
      <c r="Y32" s="35"/>
      <c r="Z32" s="8"/>
      <c r="AA32" s="8"/>
    </row>
    <row r="33" spans="1:27" x14ac:dyDescent="0.3">
      <c r="A33" s="92" t="s">
        <v>53</v>
      </c>
      <c r="B33" s="84">
        <f>B31+B32</f>
        <v>201.00000000000003</v>
      </c>
      <c r="C33" s="84"/>
      <c r="D33" s="178"/>
      <c r="E33" s="179"/>
      <c r="F33" s="180"/>
      <c r="I33" s="8"/>
      <c r="J33" s="1"/>
      <c r="K33" s="1"/>
      <c r="L33" s="1"/>
      <c r="M33" s="1"/>
      <c r="N33" s="1"/>
      <c r="O33" s="1"/>
      <c r="P33" s="1"/>
      <c r="Q33" s="42"/>
      <c r="Y33" s="35"/>
      <c r="Z33" s="8"/>
      <c r="AA33" s="8"/>
    </row>
    <row r="34" spans="1:27" ht="15" thickBot="1" x14ac:dyDescent="0.35">
      <c r="A34" s="106"/>
      <c r="B34" s="107"/>
      <c r="C34" s="107"/>
      <c r="D34" s="178"/>
      <c r="E34" s="179"/>
      <c r="F34" s="180"/>
      <c r="I34" s="8"/>
      <c r="J34" s="1"/>
      <c r="K34" s="1"/>
      <c r="L34" s="1"/>
      <c r="M34" s="1"/>
      <c r="N34" s="1"/>
      <c r="O34" s="1"/>
      <c r="P34" s="1"/>
      <c r="Q34" s="42"/>
      <c r="Y34" s="35"/>
      <c r="Z34" s="8"/>
      <c r="AA34" s="8"/>
    </row>
    <row r="35" spans="1:27" x14ac:dyDescent="0.3">
      <c r="A35" s="104" t="s">
        <v>88</v>
      </c>
      <c r="B35" s="108">
        <f>B36-B29</f>
        <v>133150.45000000001</v>
      </c>
      <c r="C35" s="89" t="s">
        <v>89</v>
      </c>
      <c r="D35" s="86" t="s">
        <v>90</v>
      </c>
      <c r="E35" s="108">
        <f>E20</f>
        <v>134742.20000000001</v>
      </c>
      <c r="F35" s="89" t="s">
        <v>98</v>
      </c>
      <c r="I35" s="8"/>
      <c r="J35" s="1"/>
      <c r="K35" s="1"/>
      <c r="L35" s="1"/>
      <c r="M35" s="1"/>
      <c r="N35" s="1"/>
      <c r="O35" s="1"/>
      <c r="P35" s="1"/>
      <c r="Q35" s="42"/>
      <c r="Y35" s="35"/>
      <c r="Z35" s="8"/>
      <c r="AA35" s="8"/>
    </row>
    <row r="36" spans="1:27" x14ac:dyDescent="0.3">
      <c r="A36" s="92" t="s">
        <v>87</v>
      </c>
      <c r="B36" s="94">
        <f>B22</f>
        <v>133198.45000000001</v>
      </c>
      <c r="C36" s="84" t="s">
        <v>91</v>
      </c>
      <c r="D36" s="87"/>
      <c r="E36" s="94"/>
      <c r="F36" s="97"/>
      <c r="I36" s="8"/>
      <c r="J36" s="1"/>
      <c r="K36" s="1"/>
      <c r="L36" s="1"/>
      <c r="M36" s="1"/>
      <c r="N36" s="1"/>
      <c r="O36" s="1"/>
      <c r="P36" s="1"/>
      <c r="Q36" s="42"/>
      <c r="Y36" s="35"/>
      <c r="Z36" s="8"/>
      <c r="AA36" s="8"/>
    </row>
    <row r="37" spans="1:27" x14ac:dyDescent="0.3">
      <c r="A37" s="92"/>
      <c r="B37" s="94">
        <f>B36+B31</f>
        <v>133246.45000000001</v>
      </c>
      <c r="C37" s="96">
        <v>1.6E-2</v>
      </c>
      <c r="D37" s="87"/>
      <c r="E37" s="94">
        <f>E35+((B9-0.03)*(36)*(B7))</f>
        <v>134769.20000000001</v>
      </c>
      <c r="F37" s="96">
        <v>0.03</v>
      </c>
      <c r="I37" s="8"/>
      <c r="J37" s="1"/>
      <c r="K37" s="1"/>
      <c r="L37" s="1"/>
      <c r="M37" s="1"/>
      <c r="N37" s="1"/>
      <c r="O37" s="1"/>
      <c r="P37" s="1"/>
      <c r="Q37" s="42"/>
      <c r="Y37" s="35"/>
      <c r="Z37" s="8"/>
      <c r="AA37" s="8"/>
    </row>
    <row r="38" spans="1:27" x14ac:dyDescent="0.3">
      <c r="A38" s="92"/>
      <c r="B38" s="94">
        <f>B37+((0.03-B10)*(36)*(B7))</f>
        <v>133372.45000000001</v>
      </c>
      <c r="C38" s="96">
        <v>0.03</v>
      </c>
      <c r="D38" s="87"/>
      <c r="E38" s="94">
        <f>E35+((B9-B10)*(36)*(B7))</f>
        <v>134895.20000000001</v>
      </c>
      <c r="F38" s="96">
        <v>1.6E-2</v>
      </c>
      <c r="I38" s="8"/>
      <c r="J38" s="1"/>
      <c r="K38" s="1"/>
      <c r="L38" s="1"/>
      <c r="M38" s="1"/>
      <c r="N38" s="1"/>
      <c r="O38" s="1"/>
      <c r="P38" s="1"/>
      <c r="Q38" s="42"/>
      <c r="Y38" s="35"/>
      <c r="Z38" s="8"/>
      <c r="AA38" s="8"/>
    </row>
    <row r="39" spans="1:27" x14ac:dyDescent="0.3">
      <c r="A39" s="92"/>
      <c r="B39" s="94"/>
      <c r="C39" s="96"/>
      <c r="D39" s="87"/>
      <c r="E39" s="94">
        <f>E38+((B10)*(12)*(B7))</f>
        <v>134943.20000000001</v>
      </c>
      <c r="F39" s="96" t="s">
        <v>99</v>
      </c>
      <c r="I39" s="8"/>
      <c r="J39" s="1"/>
      <c r="K39" s="1"/>
      <c r="L39" s="1"/>
      <c r="M39" s="1"/>
      <c r="N39" s="1"/>
      <c r="O39" s="1"/>
      <c r="P39" s="1"/>
      <c r="Q39" s="42"/>
      <c r="Y39" s="35"/>
      <c r="Z39" s="8"/>
      <c r="AA39" s="8"/>
    </row>
    <row r="40" spans="1:27" ht="15" thickBot="1" x14ac:dyDescent="0.35">
      <c r="A40" s="93" t="s">
        <v>90</v>
      </c>
      <c r="B40" s="95">
        <f>B36+B33</f>
        <v>133399.45000000001</v>
      </c>
      <c r="C40" s="105">
        <v>3.3000000000000002E-2</v>
      </c>
      <c r="D40" s="88"/>
      <c r="E40" s="95">
        <f>E38+((B10+B10)*(12)*(B7))</f>
        <v>134991.20000000001</v>
      </c>
      <c r="F40" s="85" t="s">
        <v>84</v>
      </c>
      <c r="I40" s="8"/>
      <c r="J40" s="1"/>
      <c r="K40" s="1"/>
      <c r="L40" s="1"/>
      <c r="M40" s="1"/>
      <c r="N40" s="1"/>
      <c r="O40" s="1"/>
      <c r="P40" s="1"/>
      <c r="Q40" s="42"/>
      <c r="Y40" s="35"/>
      <c r="Z40" s="8"/>
      <c r="AA40" s="8"/>
    </row>
    <row r="41" spans="1:27" x14ac:dyDescent="0.3">
      <c r="I41" s="8"/>
      <c r="J41" s="1"/>
      <c r="K41" s="1"/>
      <c r="L41" s="1"/>
      <c r="M41" s="1"/>
      <c r="N41" s="1"/>
      <c r="O41" s="1"/>
      <c r="P41" s="1"/>
      <c r="Q41" s="42"/>
      <c r="Y41" s="35"/>
      <c r="Z41" s="8"/>
      <c r="AA41" s="8"/>
    </row>
    <row r="42" spans="1:27" x14ac:dyDescent="0.3">
      <c r="I42" s="8"/>
      <c r="J42" s="1"/>
      <c r="K42" s="1"/>
      <c r="L42" s="1"/>
      <c r="M42" s="1"/>
      <c r="N42" s="1"/>
      <c r="O42" s="1"/>
      <c r="P42" s="1"/>
      <c r="Q42" s="42"/>
      <c r="Y42" s="35"/>
      <c r="Z42" s="8"/>
      <c r="AA42" s="8"/>
    </row>
    <row r="43" spans="1:27" x14ac:dyDescent="0.3">
      <c r="I43" s="8"/>
      <c r="J43" s="1"/>
      <c r="K43" s="1"/>
      <c r="L43" s="1"/>
      <c r="M43" s="1"/>
      <c r="N43" s="1"/>
      <c r="O43" s="1"/>
      <c r="P43" s="1"/>
      <c r="Q43" s="42"/>
      <c r="Y43" s="35"/>
      <c r="Z43" s="8"/>
      <c r="AA43" s="8"/>
    </row>
    <row r="44" spans="1:27" x14ac:dyDescent="0.3">
      <c r="I44" s="8"/>
      <c r="J44" s="1"/>
      <c r="K44" s="1"/>
      <c r="L44" s="1"/>
      <c r="M44" s="1"/>
      <c r="N44" s="1"/>
      <c r="O44" s="1"/>
      <c r="P44" s="1"/>
      <c r="Q44" s="42"/>
      <c r="Y44" s="35"/>
      <c r="Z44" s="8"/>
      <c r="AA44" s="8"/>
    </row>
    <row r="45" spans="1:27" x14ac:dyDescent="0.3">
      <c r="I45" s="8"/>
      <c r="J45" s="1"/>
      <c r="K45" s="1"/>
      <c r="L45" s="1"/>
      <c r="M45" s="1"/>
      <c r="N45" s="1"/>
      <c r="O45" s="1"/>
      <c r="P45" s="1"/>
      <c r="Q45" s="42"/>
      <c r="Y45" s="35"/>
      <c r="Z45" s="8"/>
      <c r="AA45" s="8"/>
    </row>
    <row r="46" spans="1:27" x14ac:dyDescent="0.3">
      <c r="I46" s="8"/>
      <c r="J46" s="1"/>
      <c r="K46" s="1"/>
      <c r="L46" s="1"/>
      <c r="M46" s="1"/>
      <c r="N46" s="1"/>
      <c r="O46" s="1"/>
      <c r="P46" s="1"/>
      <c r="Q46" s="42"/>
      <c r="Y46" s="35"/>
      <c r="Z46" s="8"/>
      <c r="AA46" s="8"/>
    </row>
    <row r="47" spans="1:27" x14ac:dyDescent="0.3">
      <c r="I47" s="8"/>
      <c r="J47" s="1"/>
      <c r="K47" s="1"/>
      <c r="L47" s="1"/>
      <c r="M47" s="1"/>
      <c r="N47" s="1"/>
      <c r="O47" s="1"/>
      <c r="P47" s="1"/>
      <c r="Q47" s="42"/>
      <c r="Y47" s="35"/>
      <c r="Z47" s="8"/>
      <c r="AA47" s="8"/>
    </row>
    <row r="48" spans="1:27" ht="15" thickBot="1" x14ac:dyDescent="0.35">
      <c r="I48" s="8"/>
      <c r="J48" s="1"/>
      <c r="K48" s="1"/>
      <c r="L48" s="1"/>
      <c r="M48" s="1"/>
      <c r="N48" s="1"/>
      <c r="O48" s="1"/>
      <c r="P48" s="1"/>
      <c r="Q48" s="42"/>
      <c r="Y48" s="35"/>
      <c r="Z48" s="8"/>
      <c r="AA48" s="8"/>
    </row>
    <row r="49" spans="1:27" x14ac:dyDescent="0.3">
      <c r="I49" s="63"/>
      <c r="J49" s="64"/>
      <c r="K49" s="64"/>
      <c r="L49" s="64"/>
      <c r="M49" s="64"/>
      <c r="N49" s="64"/>
      <c r="O49" s="64"/>
      <c r="P49" s="64"/>
      <c r="Q49" s="65"/>
      <c r="R49" s="65"/>
      <c r="S49" s="65"/>
      <c r="T49" s="65"/>
      <c r="U49" s="64"/>
      <c r="V49" s="64"/>
      <c r="W49" s="64"/>
      <c r="X49" s="64"/>
      <c r="Y49" s="66"/>
      <c r="Z49" s="8"/>
      <c r="AA49" s="8"/>
    </row>
    <row r="50" spans="1:27" x14ac:dyDescent="0.3">
      <c r="A50" s="35"/>
      <c r="I50" s="67"/>
      <c r="J50" s="165" t="s">
        <v>72</v>
      </c>
      <c r="K50" s="165"/>
      <c r="L50" s="165"/>
      <c r="M50" s="165"/>
      <c r="N50" s="165"/>
      <c r="O50" s="165"/>
      <c r="P50" s="165"/>
      <c r="Q50" s="49"/>
      <c r="R50" s="164" t="s">
        <v>71</v>
      </c>
      <c r="S50" s="164"/>
      <c r="T50" s="164"/>
      <c r="U50" s="164"/>
      <c r="V50" s="164"/>
      <c r="W50" s="164"/>
      <c r="X50" s="164"/>
      <c r="Y50" s="68"/>
      <c r="Z50" s="8"/>
      <c r="AA50" s="8"/>
    </row>
    <row r="51" spans="1:27" x14ac:dyDescent="0.3">
      <c r="I51" s="67"/>
      <c r="J51" s="48"/>
      <c r="K51" s="48"/>
      <c r="L51" s="48"/>
      <c r="M51" s="48"/>
      <c r="N51" s="48"/>
      <c r="O51" s="48"/>
      <c r="P51" s="48"/>
      <c r="Q51" s="49"/>
      <c r="R51" s="49"/>
      <c r="S51" s="49"/>
      <c r="T51" s="49"/>
      <c r="U51" s="48"/>
      <c r="V51" s="48"/>
      <c r="W51" s="48"/>
      <c r="X51" s="48"/>
      <c r="Y51" s="68"/>
      <c r="Z51" s="8"/>
      <c r="AA51" s="8"/>
    </row>
    <row r="52" spans="1:27" x14ac:dyDescent="0.3">
      <c r="I52" s="67"/>
      <c r="J52" s="48" t="s">
        <v>64</v>
      </c>
      <c r="K52" s="48" t="s">
        <v>69</v>
      </c>
      <c r="L52" s="48" t="s">
        <v>68</v>
      </c>
      <c r="M52" s="48" t="s">
        <v>66</v>
      </c>
      <c r="N52" s="50" t="s">
        <v>70</v>
      </c>
      <c r="O52" s="48" t="s">
        <v>65</v>
      </c>
      <c r="P52" s="49" t="s">
        <v>67</v>
      </c>
      <c r="Q52" s="50" t="s">
        <v>59</v>
      </c>
      <c r="R52" s="49" t="s">
        <v>67</v>
      </c>
      <c r="S52" s="48" t="s">
        <v>65</v>
      </c>
      <c r="T52" s="50" t="s">
        <v>70</v>
      </c>
      <c r="U52" s="48" t="s">
        <v>66</v>
      </c>
      <c r="V52" s="48" t="s">
        <v>68</v>
      </c>
      <c r="W52" s="48" t="s">
        <v>69</v>
      </c>
      <c r="X52" s="48" t="s">
        <v>64</v>
      </c>
      <c r="Y52" s="68"/>
      <c r="Z52" s="8"/>
      <c r="AA52" s="8"/>
    </row>
    <row r="53" spans="1:27" x14ac:dyDescent="0.3">
      <c r="I53" s="67"/>
      <c r="J53" s="112">
        <v>-0.04</v>
      </c>
      <c r="K53" s="112">
        <v>-1.6E-2</v>
      </c>
      <c r="L53" s="112">
        <v>-1.6E-2</v>
      </c>
      <c r="M53" s="112">
        <v>1.6E-2</v>
      </c>
      <c r="N53" s="51"/>
      <c r="O53" s="112">
        <v>-1.6E-2</v>
      </c>
      <c r="P53" s="112">
        <v>-0.04</v>
      </c>
      <c r="Q53" s="53">
        <f>(Q58)-B12</f>
        <v>133054.45000000001</v>
      </c>
      <c r="R53" s="112">
        <v>-0.04</v>
      </c>
      <c r="S53" s="112">
        <v>-1.6E-2</v>
      </c>
      <c r="T53" s="114"/>
      <c r="U53" s="112">
        <v>1.6E-2</v>
      </c>
      <c r="V53" s="112">
        <v>-1.6E-2</v>
      </c>
      <c r="W53" s="112">
        <v>-1.6E-2</v>
      </c>
      <c r="X53" s="112">
        <v>-0.04</v>
      </c>
      <c r="Y53" s="69" t="s">
        <v>63</v>
      </c>
      <c r="Z53" s="8"/>
      <c r="AA53" s="8"/>
    </row>
    <row r="54" spans="1:27" x14ac:dyDescent="0.3">
      <c r="I54" s="67"/>
      <c r="J54" s="112">
        <v>-0.04</v>
      </c>
      <c r="K54" s="112">
        <v>-1.6E-2</v>
      </c>
      <c r="L54" s="112">
        <v>-1.6E-2</v>
      </c>
      <c r="M54" s="112">
        <v>1.6E-2</v>
      </c>
      <c r="N54" s="51"/>
      <c r="O54" s="112">
        <v>-1.6E-2</v>
      </c>
      <c r="P54" s="112">
        <v>-0.04</v>
      </c>
      <c r="Q54" s="55">
        <v>133075</v>
      </c>
      <c r="R54" s="112">
        <v>-0.04</v>
      </c>
      <c r="S54" s="112">
        <v>-1.6E-2</v>
      </c>
      <c r="T54" s="114"/>
      <c r="U54" s="112">
        <v>1.6E-2</v>
      </c>
      <c r="V54" s="113">
        <f>((Q54-$Q$53)/(($B$7)*(24)))+$V$53</f>
        <v>-1.2575000000001941E-2</v>
      </c>
      <c r="W54" s="113">
        <f t="shared" ref="W54:W63" si="0">((Q54-$Q$53)/(($B$7)*(24)))+($W$53)</f>
        <v>-1.2575000000001941E-2</v>
      </c>
      <c r="X54" s="112">
        <v>-0.04</v>
      </c>
      <c r="Y54" s="69"/>
      <c r="Z54" s="8"/>
      <c r="AA54" s="8"/>
    </row>
    <row r="55" spans="1:27" x14ac:dyDescent="0.3">
      <c r="I55" s="67"/>
      <c r="J55" s="112">
        <v>-0.04</v>
      </c>
      <c r="K55" s="112">
        <v>-1.6E-2</v>
      </c>
      <c r="L55" s="112">
        <v>-1.6E-2</v>
      </c>
      <c r="M55" s="112">
        <v>1.6E-2</v>
      </c>
      <c r="N55" s="51"/>
      <c r="O55" s="112">
        <v>-1.6E-2</v>
      </c>
      <c r="P55" s="112">
        <v>-0.04</v>
      </c>
      <c r="Q55" s="55">
        <v>133100</v>
      </c>
      <c r="R55" s="112">
        <v>-0.04</v>
      </c>
      <c r="S55" s="112">
        <v>-1.6E-2</v>
      </c>
      <c r="T55" s="114"/>
      <c r="U55" s="112">
        <v>1.6E-2</v>
      </c>
      <c r="V55" s="113">
        <f t="shared" ref="V55:V62" si="1">((Q55-$Q$53)/(($B$7)*(24)))+$V$53</f>
        <v>-8.4083333333352731E-3</v>
      </c>
      <c r="W55" s="113">
        <f t="shared" si="0"/>
        <v>-8.4083333333352731E-3</v>
      </c>
      <c r="X55" s="112">
        <v>-0.04</v>
      </c>
      <c r="Y55" s="69"/>
      <c r="Z55" s="8"/>
      <c r="AA55" s="8"/>
    </row>
    <row r="56" spans="1:27" x14ac:dyDescent="0.3">
      <c r="I56" s="67"/>
      <c r="J56" s="112">
        <v>-0.04</v>
      </c>
      <c r="K56" s="112">
        <v>-1.6E-2</v>
      </c>
      <c r="L56" s="112">
        <v>-1.6E-2</v>
      </c>
      <c r="M56" s="112">
        <v>1.6E-2</v>
      </c>
      <c r="N56" s="51"/>
      <c r="O56" s="112">
        <v>-1.6E-2</v>
      </c>
      <c r="P56" s="112">
        <v>-0.04</v>
      </c>
      <c r="Q56" s="55">
        <v>133125</v>
      </c>
      <c r="R56" s="112">
        <v>-0.04</v>
      </c>
      <c r="S56" s="112">
        <v>-1.6E-2</v>
      </c>
      <c r="T56" s="114"/>
      <c r="U56" s="112">
        <v>1.6E-2</v>
      </c>
      <c r="V56" s="113">
        <f t="shared" si="1"/>
        <v>-4.2416666666686073E-3</v>
      </c>
      <c r="W56" s="113">
        <f t="shared" si="0"/>
        <v>-4.2416666666686073E-3</v>
      </c>
      <c r="X56" s="112">
        <v>-0.04</v>
      </c>
      <c r="Y56" s="69"/>
      <c r="Z56" s="8"/>
      <c r="AA56" s="8"/>
    </row>
    <row r="57" spans="1:27" x14ac:dyDescent="0.3">
      <c r="I57" s="67"/>
      <c r="J57" s="112">
        <v>-0.04</v>
      </c>
      <c r="K57" s="112">
        <v>-1.6E-2</v>
      </c>
      <c r="L57" s="112">
        <v>-1.6E-2</v>
      </c>
      <c r="M57" s="112">
        <v>1.6E-2</v>
      </c>
      <c r="N57" s="51"/>
      <c r="O57" s="112">
        <v>-1.6E-2</v>
      </c>
      <c r="P57" s="112">
        <v>-0.04</v>
      </c>
      <c r="Q57" s="55">
        <v>133150</v>
      </c>
      <c r="R57" s="112">
        <v>-0.04</v>
      </c>
      <c r="S57" s="112">
        <v>-1.6E-2</v>
      </c>
      <c r="T57" s="114"/>
      <c r="U57" s="112">
        <v>1.6E-2</v>
      </c>
      <c r="V57" s="113">
        <f t="shared" si="1"/>
        <v>-7.5000000001941569E-5</v>
      </c>
      <c r="W57" s="113">
        <f t="shared" si="0"/>
        <v>-7.5000000001941569E-5</v>
      </c>
      <c r="X57" s="112">
        <v>-0.04</v>
      </c>
      <c r="Y57" s="69"/>
      <c r="Z57" s="8"/>
      <c r="AA57" s="8"/>
    </row>
    <row r="58" spans="1:27" x14ac:dyDescent="0.3">
      <c r="I58" s="70" t="s">
        <v>78</v>
      </c>
      <c r="J58" s="112">
        <v>-0.04</v>
      </c>
      <c r="K58" s="112">
        <v>-1.6E-2</v>
      </c>
      <c r="L58" s="112">
        <v>-1.6E-2</v>
      </c>
      <c r="M58" s="112">
        <v>1.6E-2</v>
      </c>
      <c r="N58" s="51"/>
      <c r="O58" s="112">
        <v>-1.6E-2</v>
      </c>
      <c r="P58" s="112">
        <v>-0.04</v>
      </c>
      <c r="Q58" s="53">
        <f>(Q67)-B17</f>
        <v>133150.45000000001</v>
      </c>
      <c r="R58" s="112">
        <v>-0.04</v>
      </c>
      <c r="S58" s="112">
        <v>-1.6E-2</v>
      </c>
      <c r="T58" s="114"/>
      <c r="U58" s="112">
        <v>1.6E-2</v>
      </c>
      <c r="V58" s="113">
        <f t="shared" si="1"/>
        <v>0</v>
      </c>
      <c r="W58" s="113">
        <f t="shared" si="0"/>
        <v>0</v>
      </c>
      <c r="X58" s="112">
        <v>-0.04</v>
      </c>
      <c r="Y58" s="69" t="s">
        <v>77</v>
      </c>
      <c r="Z58" s="8"/>
      <c r="AA58" s="8"/>
    </row>
    <row r="59" spans="1:27" x14ac:dyDescent="0.3">
      <c r="I59" s="67"/>
      <c r="J59" s="112">
        <v>-0.04</v>
      </c>
      <c r="K59" s="112">
        <v>-1.6E-2</v>
      </c>
      <c r="L59" s="112">
        <v>-1.6E-2</v>
      </c>
      <c r="M59" s="113">
        <f t="shared" ref="M59:M63" si="2">((($M$58))-((Q59-$Q$58)/(($B$7)*(12))))</f>
        <v>7.8166666666705468E-3</v>
      </c>
      <c r="N59" s="51"/>
      <c r="O59" s="113">
        <f t="shared" ref="O59:O72" si="3">-M59</f>
        <v>-7.8166666666705468E-3</v>
      </c>
      <c r="P59" s="112">
        <v>-0.04</v>
      </c>
      <c r="Q59" s="55">
        <v>133175</v>
      </c>
      <c r="R59" s="112">
        <v>-0.04</v>
      </c>
      <c r="S59" s="112">
        <v>-1.6E-2</v>
      </c>
      <c r="T59" s="114"/>
      <c r="U59" s="112">
        <v>1.6E-2</v>
      </c>
      <c r="V59" s="113">
        <f t="shared" si="1"/>
        <v>4.0916666666647276E-3</v>
      </c>
      <c r="W59" s="113">
        <f t="shared" si="0"/>
        <v>4.0916666666647276E-3</v>
      </c>
      <c r="X59" s="112">
        <v>-0.04</v>
      </c>
      <c r="Y59" s="69"/>
      <c r="Z59" s="8"/>
      <c r="AA59" s="8"/>
    </row>
    <row r="60" spans="1:27" x14ac:dyDescent="0.3">
      <c r="I60" s="70" t="s">
        <v>77</v>
      </c>
      <c r="J60" s="112">
        <v>-0.04</v>
      </c>
      <c r="K60" s="112">
        <v>-1.6E-2</v>
      </c>
      <c r="L60" s="112">
        <v>-1.6E-2</v>
      </c>
      <c r="M60" s="113">
        <f t="shared" si="2"/>
        <v>0</v>
      </c>
      <c r="N60" s="51"/>
      <c r="O60" s="113">
        <f t="shared" si="3"/>
        <v>0</v>
      </c>
      <c r="P60" s="112">
        <v>-0.04</v>
      </c>
      <c r="Q60" s="53">
        <f>Q58+(B12/2)</f>
        <v>133198.45000000001</v>
      </c>
      <c r="R60" s="112">
        <v>-0.04</v>
      </c>
      <c r="S60" s="112">
        <v>-1.6E-2</v>
      </c>
      <c r="T60" s="114"/>
      <c r="U60" s="112">
        <v>1.6E-2</v>
      </c>
      <c r="V60" s="113">
        <f t="shared" si="1"/>
        <v>8.0000000000000002E-3</v>
      </c>
      <c r="W60" s="113">
        <f t="shared" si="0"/>
        <v>8.0000000000000002E-3</v>
      </c>
      <c r="X60" s="112">
        <v>-0.04</v>
      </c>
      <c r="Y60" s="69"/>
      <c r="Z60" s="8"/>
      <c r="AA60" s="8"/>
    </row>
    <row r="61" spans="1:27" x14ac:dyDescent="0.3">
      <c r="I61" s="67"/>
      <c r="J61" s="112">
        <v>-0.04</v>
      </c>
      <c r="K61" s="112">
        <v>-1.6E-2</v>
      </c>
      <c r="L61" s="112">
        <v>-1.6E-2</v>
      </c>
      <c r="M61" s="113">
        <f t="shared" si="2"/>
        <v>-5.1666666666278643E-4</v>
      </c>
      <c r="N61" s="51"/>
      <c r="O61" s="113">
        <f t="shared" si="3"/>
        <v>5.1666666666278643E-4</v>
      </c>
      <c r="P61" s="112">
        <v>-0.04</v>
      </c>
      <c r="Q61" s="55">
        <v>133200</v>
      </c>
      <c r="R61" s="112">
        <v>-0.04</v>
      </c>
      <c r="S61" s="112">
        <v>-1.6E-2</v>
      </c>
      <c r="T61" s="114"/>
      <c r="U61" s="112">
        <v>1.6E-2</v>
      </c>
      <c r="V61" s="113">
        <f t="shared" si="1"/>
        <v>8.2583333333313934E-3</v>
      </c>
      <c r="W61" s="113">
        <f t="shared" si="0"/>
        <v>8.2583333333313934E-3</v>
      </c>
      <c r="X61" s="112">
        <v>-0.04</v>
      </c>
      <c r="Y61" s="69"/>
      <c r="Z61" s="8"/>
      <c r="AA61" s="8"/>
    </row>
    <row r="62" spans="1:27" x14ac:dyDescent="0.3">
      <c r="I62" s="67"/>
      <c r="J62" s="112">
        <v>-0.04</v>
      </c>
      <c r="K62" s="112">
        <v>-1.6E-2</v>
      </c>
      <c r="L62" s="112">
        <v>-1.6E-2</v>
      </c>
      <c r="M62" s="113">
        <f t="shared" si="2"/>
        <v>-1.5516666666662786E-2</v>
      </c>
      <c r="N62" s="51"/>
      <c r="O62" s="113">
        <f t="shared" si="3"/>
        <v>1.5516666666662786E-2</v>
      </c>
      <c r="P62" s="112">
        <v>-0.04</v>
      </c>
      <c r="Q62" s="55">
        <v>133245</v>
      </c>
      <c r="R62" s="112">
        <v>-0.04</v>
      </c>
      <c r="S62" s="112">
        <v>-1.6E-2</v>
      </c>
      <c r="T62" s="114"/>
      <c r="U62" s="112">
        <v>1.6E-2</v>
      </c>
      <c r="V62" s="113">
        <f t="shared" si="1"/>
        <v>1.575833333333139E-2</v>
      </c>
      <c r="W62" s="113">
        <f t="shared" si="0"/>
        <v>1.575833333333139E-2</v>
      </c>
      <c r="X62" s="112">
        <v>-0.04</v>
      </c>
      <c r="Y62" s="69"/>
      <c r="Z62" s="8"/>
      <c r="AA62" s="8"/>
    </row>
    <row r="63" spans="1:27" x14ac:dyDescent="0.3">
      <c r="I63" s="67"/>
      <c r="J63" s="112">
        <v>-0.04</v>
      </c>
      <c r="K63" s="112">
        <v>-1.6E-2</v>
      </c>
      <c r="L63" s="112">
        <v>-1.6E-2</v>
      </c>
      <c r="M63" s="113">
        <f t="shared" si="2"/>
        <v>-1.6E-2</v>
      </c>
      <c r="N63" s="51"/>
      <c r="O63" s="113">
        <f t="shared" si="3"/>
        <v>1.6E-2</v>
      </c>
      <c r="P63" s="112">
        <v>-0.04</v>
      </c>
      <c r="Q63" s="53">
        <f>Q60+(B12/2)</f>
        <v>133246.45000000001</v>
      </c>
      <c r="R63" s="112">
        <v>-0.04</v>
      </c>
      <c r="S63" s="112">
        <v>-1.6E-2</v>
      </c>
      <c r="T63" s="114"/>
      <c r="U63" s="112">
        <v>1.6E-2</v>
      </c>
      <c r="V63" s="113">
        <f>((Q63-$Q$53)/(($B$7)*(24)))+$V$53</f>
        <v>1.6E-2</v>
      </c>
      <c r="W63" s="113">
        <f t="shared" si="0"/>
        <v>1.6E-2</v>
      </c>
      <c r="X63" s="112">
        <v>-0.04</v>
      </c>
      <c r="Y63" s="69"/>
      <c r="Z63" s="8"/>
      <c r="AA63" s="8"/>
    </row>
    <row r="64" spans="1:27" x14ac:dyDescent="0.3">
      <c r="I64" s="67"/>
      <c r="J64" s="112">
        <v>-0.04</v>
      </c>
      <c r="K64" s="113">
        <f t="shared" ref="K64:K72" si="4">$K$63-((Q64-$Q$63)/(($B$7)*(36)))</f>
        <v>-1.639444444444315E-2</v>
      </c>
      <c r="L64" s="113">
        <f t="shared" ref="L64:L72" si="5">$L$63-((Q64-$Q$63)/(($B$7)*(36)))</f>
        <v>-1.639444444444315E-2</v>
      </c>
      <c r="M64" s="113">
        <f t="shared" ref="M64:M72" si="6">$M$63-((Q64-$Q$63)/(($B$7)*(36)))</f>
        <v>-1.639444444444315E-2</v>
      </c>
      <c r="N64" s="51"/>
      <c r="O64" s="113">
        <f t="shared" si="3"/>
        <v>1.639444444444315E-2</v>
      </c>
      <c r="P64" s="112">
        <v>-0.04</v>
      </c>
      <c r="Q64" s="55">
        <v>133250</v>
      </c>
      <c r="R64" s="112">
        <v>-0.04</v>
      </c>
      <c r="S64" s="113">
        <f>-U64</f>
        <v>-1.639444444444315E-2</v>
      </c>
      <c r="T64" s="114"/>
      <c r="U64" s="113">
        <f t="shared" ref="U64:U72" si="7">$U$63+((Q64-$Q$63)/(($B$7)*(36)))</f>
        <v>1.639444444444315E-2</v>
      </c>
      <c r="V64" s="113">
        <f>$V$63+((Q64-$Q$63)/(($B$7)*(36)))</f>
        <v>1.639444444444315E-2</v>
      </c>
      <c r="W64" s="113">
        <f t="shared" ref="W64:W72" si="8">$W$63+((Q64-$Q$63)/(($B$7)*(36)))</f>
        <v>1.639444444444315E-2</v>
      </c>
      <c r="X64" s="112">
        <v>-0.04</v>
      </c>
      <c r="Y64" s="69"/>
      <c r="Z64" s="8"/>
      <c r="AA64" s="8"/>
    </row>
    <row r="65" spans="1:27" x14ac:dyDescent="0.3">
      <c r="I65" s="67"/>
      <c r="J65" s="112">
        <v>-0.04</v>
      </c>
      <c r="K65" s="113">
        <f t="shared" si="4"/>
        <v>-1.9172222222220928E-2</v>
      </c>
      <c r="L65" s="113">
        <f t="shared" si="5"/>
        <v>-1.9172222222220928E-2</v>
      </c>
      <c r="M65" s="113">
        <f t="shared" si="6"/>
        <v>-1.9172222222220928E-2</v>
      </c>
      <c r="N65" s="51"/>
      <c r="O65" s="113">
        <f t="shared" si="3"/>
        <v>1.9172222222220928E-2</v>
      </c>
      <c r="P65" s="112">
        <v>-0.04</v>
      </c>
      <c r="Q65" s="55">
        <v>133275</v>
      </c>
      <c r="R65" s="112">
        <v>-0.04</v>
      </c>
      <c r="S65" s="113">
        <f t="shared" ref="S65:S72" si="9">-U65</f>
        <v>-1.9172222222220928E-2</v>
      </c>
      <c r="T65" s="114"/>
      <c r="U65" s="113">
        <f t="shared" si="7"/>
        <v>1.9172222222220928E-2</v>
      </c>
      <c r="V65" s="113">
        <f t="shared" ref="V65:V72" si="10">$V$63+((Q65-$Q$63)/(($B$7)*(36)))</f>
        <v>1.9172222222220928E-2</v>
      </c>
      <c r="W65" s="113">
        <f t="shared" si="8"/>
        <v>1.9172222222220928E-2</v>
      </c>
      <c r="X65" s="112">
        <v>-0.04</v>
      </c>
      <c r="Y65" s="69"/>
      <c r="Z65" s="8"/>
      <c r="AA65" s="8"/>
    </row>
    <row r="66" spans="1:27" x14ac:dyDescent="0.3">
      <c r="I66" s="67"/>
      <c r="J66" s="112">
        <v>-0.04</v>
      </c>
      <c r="K66" s="113">
        <f t="shared" si="4"/>
        <v>-2.1949999999998707E-2</v>
      </c>
      <c r="L66" s="113">
        <f t="shared" si="5"/>
        <v>-2.1949999999998707E-2</v>
      </c>
      <c r="M66" s="113">
        <f t="shared" si="6"/>
        <v>-2.1949999999998707E-2</v>
      </c>
      <c r="N66" s="51"/>
      <c r="O66" s="113">
        <f t="shared" si="3"/>
        <v>2.1949999999998707E-2</v>
      </c>
      <c r="P66" s="112">
        <v>-0.04</v>
      </c>
      <c r="Q66" s="55">
        <v>133300</v>
      </c>
      <c r="R66" s="112">
        <v>-0.04</v>
      </c>
      <c r="S66" s="113">
        <f t="shared" si="9"/>
        <v>-2.1949999999998707E-2</v>
      </c>
      <c r="T66" s="114"/>
      <c r="U66" s="113">
        <f t="shared" si="7"/>
        <v>2.1949999999998707E-2</v>
      </c>
      <c r="V66" s="113">
        <f t="shared" si="10"/>
        <v>2.1949999999998707E-2</v>
      </c>
      <c r="W66" s="113">
        <f t="shared" si="8"/>
        <v>2.1949999999998707E-2</v>
      </c>
      <c r="X66" s="112">
        <v>-0.04</v>
      </c>
      <c r="Y66" s="69"/>
      <c r="Z66" s="8"/>
      <c r="AA66" s="8"/>
    </row>
    <row r="67" spans="1:27" x14ac:dyDescent="0.3">
      <c r="I67" s="71" t="s">
        <v>43</v>
      </c>
      <c r="J67" s="112">
        <v>-0.04</v>
      </c>
      <c r="K67" s="113">
        <f t="shared" si="4"/>
        <v>-2.377777777777778E-2</v>
      </c>
      <c r="L67" s="113">
        <f t="shared" si="5"/>
        <v>-2.377777777777778E-2</v>
      </c>
      <c r="M67" s="113">
        <f t="shared" si="6"/>
        <v>-2.377777777777778E-2</v>
      </c>
      <c r="N67" s="51"/>
      <c r="O67" s="113">
        <f t="shared" si="3"/>
        <v>2.377777777777778E-2</v>
      </c>
      <c r="P67" s="115">
        <v>-0.04</v>
      </c>
      <c r="Q67" s="53">
        <v>133316.45000000001</v>
      </c>
      <c r="R67" s="112">
        <v>-0.04</v>
      </c>
      <c r="S67" s="113">
        <f t="shared" si="9"/>
        <v>-2.377777777777778E-2</v>
      </c>
      <c r="T67" s="114"/>
      <c r="U67" s="113">
        <f t="shared" si="7"/>
        <v>2.377777777777778E-2</v>
      </c>
      <c r="V67" s="113">
        <f t="shared" si="10"/>
        <v>2.377777777777778E-2</v>
      </c>
      <c r="W67" s="113">
        <f t="shared" si="8"/>
        <v>2.377777777777778E-2</v>
      </c>
      <c r="X67" s="112">
        <v>-0.04</v>
      </c>
      <c r="Y67" s="69" t="s">
        <v>43</v>
      </c>
      <c r="Z67" s="8"/>
      <c r="AA67" s="8"/>
    </row>
    <row r="68" spans="1:27" x14ac:dyDescent="0.3">
      <c r="I68" s="67"/>
      <c r="J68" s="112">
        <v>-0.04</v>
      </c>
      <c r="K68" s="113">
        <f t="shared" si="4"/>
        <v>-2.4727777777776485E-2</v>
      </c>
      <c r="L68" s="113">
        <f t="shared" si="5"/>
        <v>-2.4727777777776485E-2</v>
      </c>
      <c r="M68" s="113">
        <f t="shared" si="6"/>
        <v>-2.4727777777776485E-2</v>
      </c>
      <c r="N68" s="51"/>
      <c r="O68" s="113">
        <f t="shared" si="3"/>
        <v>2.4727777777776485E-2</v>
      </c>
      <c r="P68" s="115">
        <v>-0.04</v>
      </c>
      <c r="Q68" s="55">
        <v>133325</v>
      </c>
      <c r="R68" s="112">
        <v>-0.04</v>
      </c>
      <c r="S68" s="113">
        <f t="shared" si="9"/>
        <v>-2.4727777777776485E-2</v>
      </c>
      <c r="T68" s="114"/>
      <c r="U68" s="113">
        <f t="shared" si="7"/>
        <v>2.4727777777776485E-2</v>
      </c>
      <c r="V68" s="113">
        <f t="shared" si="10"/>
        <v>2.4727777777776485E-2</v>
      </c>
      <c r="W68" s="113">
        <f t="shared" si="8"/>
        <v>2.4727777777776485E-2</v>
      </c>
      <c r="X68" s="112">
        <v>-0.04</v>
      </c>
      <c r="Y68" s="69"/>
      <c r="Z68" s="8"/>
      <c r="AA68" s="8"/>
    </row>
    <row r="69" spans="1:27" x14ac:dyDescent="0.3">
      <c r="I69" s="67"/>
      <c r="J69" s="112">
        <v>-0.04</v>
      </c>
      <c r="K69" s="113">
        <f t="shared" si="4"/>
        <v>-2.7505555555554263E-2</v>
      </c>
      <c r="L69" s="113">
        <f t="shared" si="5"/>
        <v>-2.7505555555554263E-2</v>
      </c>
      <c r="M69" s="113">
        <f t="shared" si="6"/>
        <v>-2.7505555555554263E-2</v>
      </c>
      <c r="N69" s="51"/>
      <c r="O69" s="113">
        <f t="shared" si="3"/>
        <v>2.7505555555554263E-2</v>
      </c>
      <c r="P69" s="115">
        <v>-0.04</v>
      </c>
      <c r="Q69" s="55">
        <v>133350</v>
      </c>
      <c r="R69" s="112">
        <v>-0.04</v>
      </c>
      <c r="S69" s="113">
        <f t="shared" si="9"/>
        <v>-2.7505555555554263E-2</v>
      </c>
      <c r="T69" s="114"/>
      <c r="U69" s="113">
        <f t="shared" si="7"/>
        <v>2.7505555555554263E-2</v>
      </c>
      <c r="V69" s="113">
        <f t="shared" si="10"/>
        <v>2.7505555555554263E-2</v>
      </c>
      <c r="W69" s="113">
        <f t="shared" si="8"/>
        <v>2.7505555555554263E-2</v>
      </c>
      <c r="X69" s="112">
        <v>-0.04</v>
      </c>
      <c r="Y69" s="69"/>
      <c r="Z69" s="8"/>
      <c r="AA69" s="8"/>
    </row>
    <row r="70" spans="1:27" x14ac:dyDescent="0.3">
      <c r="I70" s="67"/>
      <c r="J70" s="112">
        <v>-0.04</v>
      </c>
      <c r="K70" s="113">
        <f t="shared" si="4"/>
        <v>-0.03</v>
      </c>
      <c r="L70" s="113">
        <f t="shared" si="5"/>
        <v>-0.03</v>
      </c>
      <c r="M70" s="113">
        <f t="shared" si="6"/>
        <v>-0.03</v>
      </c>
      <c r="N70" s="51"/>
      <c r="O70" s="113">
        <f t="shared" si="3"/>
        <v>0.03</v>
      </c>
      <c r="P70" s="113">
        <v>-0.04</v>
      </c>
      <c r="Q70" s="53">
        <f>Q63+126</f>
        <v>133372.45000000001</v>
      </c>
      <c r="R70" s="112">
        <v>-0.04</v>
      </c>
      <c r="S70" s="113">
        <f t="shared" si="9"/>
        <v>-0.03</v>
      </c>
      <c r="T70" s="114"/>
      <c r="U70" s="113">
        <f t="shared" si="7"/>
        <v>0.03</v>
      </c>
      <c r="V70" s="113">
        <f t="shared" si="10"/>
        <v>0.03</v>
      </c>
      <c r="W70" s="113">
        <f t="shared" si="8"/>
        <v>0.03</v>
      </c>
      <c r="X70" s="112">
        <v>-0.04</v>
      </c>
      <c r="Y70" s="69" t="s">
        <v>82</v>
      </c>
      <c r="Z70" s="8"/>
      <c r="AA70" s="8"/>
    </row>
    <row r="71" spans="1:27" x14ac:dyDescent="0.3">
      <c r="I71" s="67"/>
      <c r="J71" s="112">
        <v>-0.04</v>
      </c>
      <c r="K71" s="113">
        <f t="shared" si="4"/>
        <v>-3.0283333333332038E-2</v>
      </c>
      <c r="L71" s="113">
        <f t="shared" si="5"/>
        <v>-3.0283333333332038E-2</v>
      </c>
      <c r="M71" s="113">
        <f t="shared" si="6"/>
        <v>-3.0283333333332038E-2</v>
      </c>
      <c r="N71" s="51" t="s">
        <v>143</v>
      </c>
      <c r="O71" s="113">
        <f t="shared" si="3"/>
        <v>3.0283333333332038E-2</v>
      </c>
      <c r="P71" s="113">
        <v>-0.04</v>
      </c>
      <c r="Q71" s="55">
        <v>133375</v>
      </c>
      <c r="R71" s="112">
        <v>-0.04</v>
      </c>
      <c r="S71" s="113">
        <f t="shared" si="9"/>
        <v>-3.0283333333332038E-2</v>
      </c>
      <c r="T71" s="114"/>
      <c r="U71" s="113">
        <f t="shared" si="7"/>
        <v>3.0283333333332038E-2</v>
      </c>
      <c r="V71" s="113">
        <f t="shared" si="10"/>
        <v>3.0283333333332038E-2</v>
      </c>
      <c r="W71" s="113">
        <f t="shared" si="8"/>
        <v>3.0283333333332038E-2</v>
      </c>
      <c r="X71" s="113">
        <f>-0.07+W71</f>
        <v>-3.9716666666667969E-2</v>
      </c>
      <c r="Y71" s="69"/>
      <c r="Z71" s="8"/>
      <c r="AA71" s="8"/>
    </row>
    <row r="72" spans="1:27" x14ac:dyDescent="0.3">
      <c r="I72" s="70" t="s">
        <v>79</v>
      </c>
      <c r="J72" s="112">
        <v>-0.04</v>
      </c>
      <c r="K72" s="113">
        <f t="shared" si="4"/>
        <v>-3.3000000000000002E-2</v>
      </c>
      <c r="L72" s="113">
        <f t="shared" si="5"/>
        <v>-3.3000000000000002E-2</v>
      </c>
      <c r="M72" s="113">
        <f t="shared" si="6"/>
        <v>-3.3000000000000002E-2</v>
      </c>
      <c r="N72" s="51" t="s">
        <v>143</v>
      </c>
      <c r="O72" s="113">
        <f t="shared" si="3"/>
        <v>3.3000000000000002E-2</v>
      </c>
      <c r="P72" s="113">
        <v>-0.04</v>
      </c>
      <c r="Q72" s="53">
        <f>Q67+(B18)</f>
        <v>133399.45000000001</v>
      </c>
      <c r="R72" s="112">
        <v>-0.04</v>
      </c>
      <c r="S72" s="113">
        <f t="shared" si="9"/>
        <v>-3.3000000000000002E-2</v>
      </c>
      <c r="T72" s="114"/>
      <c r="U72" s="113">
        <f t="shared" si="7"/>
        <v>3.3000000000000002E-2</v>
      </c>
      <c r="V72" s="113">
        <f t="shared" si="10"/>
        <v>3.3000000000000002E-2</v>
      </c>
      <c r="W72" s="113">
        <f t="shared" si="8"/>
        <v>3.3000000000000002E-2</v>
      </c>
      <c r="X72" s="113">
        <f>-0.07+W72</f>
        <v>-3.7000000000000005E-2</v>
      </c>
      <c r="Y72" s="69" t="s">
        <v>79</v>
      </c>
      <c r="Z72" s="8"/>
      <c r="AA72" s="8"/>
    </row>
    <row r="73" spans="1:27" x14ac:dyDescent="0.3">
      <c r="I73" s="67"/>
      <c r="J73" s="112">
        <f t="shared" ref="J73:M75" si="11">J72</f>
        <v>-0.04</v>
      </c>
      <c r="K73" s="112">
        <f t="shared" si="11"/>
        <v>-3.3000000000000002E-2</v>
      </c>
      <c r="L73" s="112">
        <f t="shared" si="11"/>
        <v>-3.3000000000000002E-2</v>
      </c>
      <c r="M73" s="112">
        <f t="shared" si="11"/>
        <v>-3.3000000000000002E-2</v>
      </c>
      <c r="N73" s="51"/>
      <c r="O73" s="112">
        <f t="shared" ref="O73:P75" si="12">O72</f>
        <v>3.3000000000000002E-2</v>
      </c>
      <c r="P73" s="112">
        <f t="shared" si="12"/>
        <v>-0.04</v>
      </c>
      <c r="Q73" s="55">
        <v>133400</v>
      </c>
      <c r="R73" s="112">
        <f t="shared" ref="R73:S75" si="13">R72</f>
        <v>-0.04</v>
      </c>
      <c r="S73" s="112">
        <f t="shared" si="13"/>
        <v>-3.3000000000000002E-2</v>
      </c>
      <c r="T73" s="114"/>
      <c r="U73" s="112">
        <f t="shared" ref="U73:W75" si="14">U72</f>
        <v>3.3000000000000002E-2</v>
      </c>
      <c r="V73" s="112">
        <f t="shared" si="14"/>
        <v>3.3000000000000002E-2</v>
      </c>
      <c r="W73" s="112">
        <f t="shared" si="14"/>
        <v>3.3000000000000002E-2</v>
      </c>
      <c r="X73" s="112">
        <f t="shared" ref="X73:X74" si="15">-0.07+W73</f>
        <v>-3.7000000000000005E-2</v>
      </c>
      <c r="Y73" s="69"/>
      <c r="Z73" s="8"/>
      <c r="AA73" s="8"/>
    </row>
    <row r="74" spans="1:27" x14ac:dyDescent="0.3">
      <c r="I74" s="67"/>
      <c r="J74" s="112">
        <f t="shared" si="11"/>
        <v>-0.04</v>
      </c>
      <c r="K74" s="112">
        <f t="shared" si="11"/>
        <v>-3.3000000000000002E-2</v>
      </c>
      <c r="L74" s="112">
        <f t="shared" si="11"/>
        <v>-3.3000000000000002E-2</v>
      </c>
      <c r="M74" s="112">
        <f t="shared" si="11"/>
        <v>-3.3000000000000002E-2</v>
      </c>
      <c r="N74" s="51"/>
      <c r="O74" s="112">
        <f t="shared" si="12"/>
        <v>3.3000000000000002E-2</v>
      </c>
      <c r="P74" s="112">
        <f t="shared" si="12"/>
        <v>-0.04</v>
      </c>
      <c r="Q74" s="55">
        <v>133425</v>
      </c>
      <c r="R74" s="112">
        <f t="shared" si="13"/>
        <v>-0.04</v>
      </c>
      <c r="S74" s="112">
        <f t="shared" si="13"/>
        <v>-3.3000000000000002E-2</v>
      </c>
      <c r="T74" s="114"/>
      <c r="U74" s="112">
        <f t="shared" si="14"/>
        <v>3.3000000000000002E-2</v>
      </c>
      <c r="V74" s="112">
        <f t="shared" si="14"/>
        <v>3.3000000000000002E-2</v>
      </c>
      <c r="W74" s="112">
        <f t="shared" si="14"/>
        <v>3.3000000000000002E-2</v>
      </c>
      <c r="X74" s="112">
        <f t="shared" si="15"/>
        <v>-3.7000000000000005E-2</v>
      </c>
      <c r="Y74" s="69"/>
      <c r="Z74" s="8"/>
      <c r="AA74" s="8"/>
    </row>
    <row r="75" spans="1:27" x14ac:dyDescent="0.3">
      <c r="I75" s="67"/>
      <c r="J75" s="112">
        <f t="shared" si="11"/>
        <v>-0.04</v>
      </c>
      <c r="K75" s="112">
        <f t="shared" si="11"/>
        <v>-3.3000000000000002E-2</v>
      </c>
      <c r="L75" s="112">
        <f t="shared" si="11"/>
        <v>-3.3000000000000002E-2</v>
      </c>
      <c r="M75" s="112">
        <f t="shared" si="11"/>
        <v>-3.3000000000000002E-2</v>
      </c>
      <c r="N75" s="51"/>
      <c r="O75" s="112">
        <f t="shared" si="12"/>
        <v>3.3000000000000002E-2</v>
      </c>
      <c r="P75" s="112">
        <f t="shared" si="12"/>
        <v>-0.04</v>
      </c>
      <c r="Q75" s="55">
        <v>133450</v>
      </c>
      <c r="R75" s="112">
        <f t="shared" si="13"/>
        <v>-0.04</v>
      </c>
      <c r="S75" s="112">
        <f t="shared" si="13"/>
        <v>-3.3000000000000002E-2</v>
      </c>
      <c r="T75" s="114"/>
      <c r="U75" s="112">
        <f t="shared" si="14"/>
        <v>3.3000000000000002E-2</v>
      </c>
      <c r="V75" s="112">
        <f t="shared" si="14"/>
        <v>3.3000000000000002E-2</v>
      </c>
      <c r="W75" s="112">
        <f t="shared" si="14"/>
        <v>3.3000000000000002E-2</v>
      </c>
      <c r="X75" s="112">
        <f>X74</f>
        <v>-3.7000000000000005E-2</v>
      </c>
      <c r="Y75" s="69"/>
      <c r="Z75" s="8"/>
      <c r="AA75" s="8"/>
    </row>
    <row r="76" spans="1:27" x14ac:dyDescent="0.3">
      <c r="I76" s="67"/>
      <c r="J76" s="166" t="s">
        <v>76</v>
      </c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69"/>
      <c r="Z76" s="8"/>
      <c r="AA76" s="8"/>
    </row>
    <row r="77" spans="1:27" x14ac:dyDescent="0.3">
      <c r="I77" s="67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69"/>
      <c r="Z77" s="8"/>
      <c r="AA77" s="8"/>
    </row>
    <row r="78" spans="1:27" ht="52.2" customHeight="1" x14ac:dyDescent="0.3">
      <c r="I78" s="67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69"/>
      <c r="Z78" s="8"/>
      <c r="AA78" s="8"/>
    </row>
    <row r="79" spans="1:27" ht="14.4" customHeight="1" x14ac:dyDescent="0.3">
      <c r="I79" s="67"/>
      <c r="J79" s="112">
        <v>-0.04</v>
      </c>
      <c r="K79" s="112">
        <v>-3.3000000000000002E-2</v>
      </c>
      <c r="L79" s="112">
        <v>-3.3000000000000002E-2</v>
      </c>
      <c r="M79" s="112">
        <v>-3.3000000000000002E-2</v>
      </c>
      <c r="N79" s="51"/>
      <c r="O79" s="112">
        <f>-M79</f>
        <v>3.3000000000000002E-2</v>
      </c>
      <c r="P79" s="112">
        <v>-0.04</v>
      </c>
      <c r="Q79" s="50">
        <v>134675</v>
      </c>
      <c r="R79" s="112">
        <v>-0.04</v>
      </c>
      <c r="S79" s="112">
        <f>-U79</f>
        <v>-3.3000000000000002E-2</v>
      </c>
      <c r="T79" s="51"/>
      <c r="U79" s="112">
        <v>3.3000000000000002E-2</v>
      </c>
      <c r="V79" s="112">
        <v>3.3000000000000002E-2</v>
      </c>
      <c r="W79" s="112">
        <v>3.3000000000000002E-2</v>
      </c>
      <c r="X79" s="115">
        <f>-0.07+W79</f>
        <v>-3.7000000000000005E-2</v>
      </c>
      <c r="Y79" s="69"/>
      <c r="Z79" s="8"/>
      <c r="AA79" s="8"/>
    </row>
    <row r="80" spans="1:27" s="45" customFormat="1" ht="14.4" customHeight="1" x14ac:dyDescent="0.3">
      <c r="A80" s="35"/>
      <c r="B80" s="35"/>
      <c r="C80" s="35"/>
      <c r="D80" s="35"/>
      <c r="E80" s="35"/>
      <c r="F80" s="35"/>
      <c r="G80" s="35"/>
      <c r="H80" s="35"/>
      <c r="I80" s="70"/>
      <c r="J80" s="112">
        <v>-0.04</v>
      </c>
      <c r="K80" s="112">
        <v>-3.3000000000000002E-2</v>
      </c>
      <c r="L80" s="112">
        <v>-3.3000000000000002E-2</v>
      </c>
      <c r="M80" s="112">
        <v>-3.3000000000000002E-2</v>
      </c>
      <c r="N80" s="51"/>
      <c r="O80" s="112">
        <f t="shared" ref="O80:O82" si="16">-M80</f>
        <v>3.3000000000000002E-2</v>
      </c>
      <c r="P80" s="112">
        <v>-0.04</v>
      </c>
      <c r="Q80" s="50">
        <v>134700</v>
      </c>
      <c r="R80" s="112">
        <v>-0.04</v>
      </c>
      <c r="S80" s="112">
        <f t="shared" ref="S80:S82" si="17">-U80</f>
        <v>-3.3000000000000002E-2</v>
      </c>
      <c r="T80" s="51"/>
      <c r="U80" s="112">
        <v>3.3000000000000002E-2</v>
      </c>
      <c r="V80" s="112">
        <v>3.3000000000000002E-2</v>
      </c>
      <c r="W80" s="112">
        <v>3.3000000000000002E-2</v>
      </c>
      <c r="X80" s="115">
        <f t="shared" ref="X80:X82" si="18">-0.07+W80</f>
        <v>-3.7000000000000005E-2</v>
      </c>
      <c r="Y80" s="69"/>
      <c r="Z80" s="35"/>
      <c r="AA80" s="35"/>
    </row>
    <row r="81" spans="1:27" s="45" customFormat="1" x14ac:dyDescent="0.3">
      <c r="A81" s="35"/>
      <c r="B81" s="35"/>
      <c r="C81" s="35"/>
      <c r="D81" s="35"/>
      <c r="E81" s="35"/>
      <c r="F81" s="35"/>
      <c r="G81" s="35"/>
      <c r="H81" s="35"/>
      <c r="I81" s="70"/>
      <c r="J81" s="112">
        <v>-0.04</v>
      </c>
      <c r="K81" s="112">
        <v>-3.3000000000000002E-2</v>
      </c>
      <c r="L81" s="112">
        <v>-3.3000000000000002E-2</v>
      </c>
      <c r="M81" s="112">
        <v>-3.3000000000000002E-2</v>
      </c>
      <c r="N81" s="51"/>
      <c r="O81" s="112">
        <f t="shared" si="16"/>
        <v>3.3000000000000002E-2</v>
      </c>
      <c r="P81" s="112">
        <v>-0.04</v>
      </c>
      <c r="Q81" s="55">
        <v>134725</v>
      </c>
      <c r="R81" s="112">
        <v>-0.04</v>
      </c>
      <c r="S81" s="112">
        <f t="shared" si="17"/>
        <v>-3.3000000000000002E-2</v>
      </c>
      <c r="T81" s="51"/>
      <c r="U81" s="112">
        <v>3.3000000000000002E-2</v>
      </c>
      <c r="V81" s="112">
        <v>3.3000000000000002E-2</v>
      </c>
      <c r="W81" s="112">
        <v>3.3000000000000002E-2</v>
      </c>
      <c r="X81" s="115">
        <f t="shared" si="18"/>
        <v>-3.7000000000000005E-2</v>
      </c>
      <c r="Y81" s="69"/>
      <c r="Z81" s="35"/>
      <c r="AA81" s="35"/>
    </row>
    <row r="82" spans="1:27" x14ac:dyDescent="0.3">
      <c r="I82" s="70" t="s">
        <v>80</v>
      </c>
      <c r="J82" s="112">
        <v>-0.04</v>
      </c>
      <c r="K82" s="112">
        <v>-3.3000000000000002E-2</v>
      </c>
      <c r="L82" s="112">
        <v>-3.3000000000000002E-2</v>
      </c>
      <c r="M82" s="112">
        <v>-3.3000000000000002E-2</v>
      </c>
      <c r="N82" s="51"/>
      <c r="O82" s="112">
        <f t="shared" si="16"/>
        <v>3.3000000000000002E-2</v>
      </c>
      <c r="P82" s="112">
        <v>-0.04</v>
      </c>
      <c r="Q82" s="53">
        <f>Q87-B18</f>
        <v>134742.20000000001</v>
      </c>
      <c r="R82" s="112">
        <v>-0.04</v>
      </c>
      <c r="S82" s="112">
        <f t="shared" si="17"/>
        <v>-3.3000000000000002E-2</v>
      </c>
      <c r="T82" s="51"/>
      <c r="U82" s="112">
        <v>3.3000000000000002E-2</v>
      </c>
      <c r="V82" s="112">
        <v>3.3000000000000002E-2</v>
      </c>
      <c r="W82" s="112">
        <v>3.3000000000000002E-2</v>
      </c>
      <c r="X82" s="115">
        <f t="shared" si="18"/>
        <v>-3.7000000000000005E-2</v>
      </c>
      <c r="Y82" s="68" t="s">
        <v>80</v>
      </c>
      <c r="Z82" s="8"/>
      <c r="AA82" s="8"/>
    </row>
    <row r="83" spans="1:27" x14ac:dyDescent="0.3">
      <c r="I83" s="70"/>
      <c r="J83" s="112">
        <v>-0.04</v>
      </c>
      <c r="K83" s="113">
        <f t="shared" ref="K83:K90" si="19">$K$82+((Q83-$Q$82)/(($B$7)*(36)))</f>
        <v>-3.2133333333334631E-2</v>
      </c>
      <c r="L83" s="113">
        <f t="shared" ref="L83:L90" si="20">$L$82+((Q83-$Q$82)/(($B$7)*(36)))</f>
        <v>-3.2133333333334631E-2</v>
      </c>
      <c r="M83" s="113">
        <f t="shared" ref="M83:M90" si="21">$M$82+((Q83-$Q$82)/(($B$7)*(36)))</f>
        <v>-3.2133333333334631E-2</v>
      </c>
      <c r="N83" s="51" t="s">
        <v>143</v>
      </c>
      <c r="O83" s="113">
        <f>-M83</f>
        <v>3.2133333333334631E-2</v>
      </c>
      <c r="P83" s="113">
        <v>-0.04</v>
      </c>
      <c r="Q83" s="55">
        <v>134750</v>
      </c>
      <c r="R83" s="115">
        <v>-0.04</v>
      </c>
      <c r="S83" s="113">
        <f>-U83</f>
        <v>-3.2133333333334631E-2</v>
      </c>
      <c r="T83" s="51"/>
      <c r="U83" s="113">
        <f t="shared" ref="U83:U90" si="22">$U$82-((Q83-$Q$82)/(($B$7)*(36)))</f>
        <v>3.2133333333334631E-2</v>
      </c>
      <c r="V83" s="113">
        <f t="shared" ref="V83:V90" si="23">$V$82-((Q83-$Q$82)/(($B$7)*(36)))</f>
        <v>3.2133333333334631E-2</v>
      </c>
      <c r="W83" s="113">
        <f t="shared" ref="W83:W90" si="24">$W$82-((Q83-$Q$82)/(($B$7)*(36)))</f>
        <v>3.2133333333334631E-2</v>
      </c>
      <c r="X83" s="113">
        <f t="shared" ref="X83:X84" si="25">-0.07+W83</f>
        <v>-3.7866666666665376E-2</v>
      </c>
      <c r="Y83" s="68"/>
      <c r="Z83" s="8"/>
      <c r="AA83" s="8"/>
    </row>
    <row r="84" spans="1:27" x14ac:dyDescent="0.3">
      <c r="I84" s="70"/>
      <c r="J84" s="112">
        <v>-0.04</v>
      </c>
      <c r="K84" s="113">
        <f t="shared" si="19"/>
        <v>-3.0000000000000002E-2</v>
      </c>
      <c r="L84" s="113">
        <f t="shared" si="20"/>
        <v>-3.0000000000000002E-2</v>
      </c>
      <c r="M84" s="113">
        <f t="shared" si="21"/>
        <v>-3.0000000000000002E-2</v>
      </c>
      <c r="N84" s="51"/>
      <c r="O84" s="113">
        <f>-M84</f>
        <v>3.0000000000000002E-2</v>
      </c>
      <c r="P84" s="113">
        <v>-0.04</v>
      </c>
      <c r="Q84" s="53">
        <f>Q82+27</f>
        <v>134769.20000000001</v>
      </c>
      <c r="R84" s="115">
        <v>-0.04</v>
      </c>
      <c r="S84" s="113">
        <f>-U84</f>
        <v>-3.0000000000000002E-2</v>
      </c>
      <c r="T84" s="51"/>
      <c r="U84" s="113">
        <f t="shared" si="22"/>
        <v>3.0000000000000002E-2</v>
      </c>
      <c r="V84" s="113">
        <f t="shared" si="23"/>
        <v>3.0000000000000002E-2</v>
      </c>
      <c r="W84" s="113">
        <f t="shared" si="24"/>
        <v>3.0000000000000002E-2</v>
      </c>
      <c r="X84" s="113">
        <f t="shared" si="25"/>
        <v>-4.0000000000000008E-2</v>
      </c>
      <c r="Y84" s="68"/>
      <c r="Z84" s="8"/>
      <c r="AA84" s="8"/>
    </row>
    <row r="85" spans="1:27" x14ac:dyDescent="0.3">
      <c r="I85" s="70"/>
      <c r="J85" s="112">
        <v>-0.04</v>
      </c>
      <c r="K85" s="113">
        <f t="shared" si="19"/>
        <v>-2.9355555555556849E-2</v>
      </c>
      <c r="L85" s="113">
        <f t="shared" si="20"/>
        <v>-2.9355555555556849E-2</v>
      </c>
      <c r="M85" s="113">
        <f t="shared" si="21"/>
        <v>-2.9355555555556849E-2</v>
      </c>
      <c r="N85" s="51"/>
      <c r="O85" s="113">
        <f>-M85</f>
        <v>2.9355555555556849E-2</v>
      </c>
      <c r="P85" s="115">
        <v>-0.04</v>
      </c>
      <c r="Q85" s="55">
        <v>134775</v>
      </c>
      <c r="R85" s="115">
        <v>-0.04</v>
      </c>
      <c r="S85" s="113">
        <f t="shared" ref="S85:S89" si="26">-U85</f>
        <v>-2.9355555555556849E-2</v>
      </c>
      <c r="T85" s="51"/>
      <c r="U85" s="113">
        <f t="shared" si="22"/>
        <v>2.9355555555556849E-2</v>
      </c>
      <c r="V85" s="113">
        <f t="shared" si="23"/>
        <v>2.9355555555556849E-2</v>
      </c>
      <c r="W85" s="113">
        <f t="shared" si="24"/>
        <v>2.9355555555556849E-2</v>
      </c>
      <c r="X85" s="112">
        <v>-0.04</v>
      </c>
      <c r="Y85" s="68"/>
      <c r="Z85" s="8"/>
      <c r="AA85" s="8"/>
    </row>
    <row r="86" spans="1:27" x14ac:dyDescent="0.3">
      <c r="I86" s="70"/>
      <c r="J86" s="112">
        <v>-0.04</v>
      </c>
      <c r="K86" s="113">
        <f t="shared" si="19"/>
        <v>-2.6577777777779074E-2</v>
      </c>
      <c r="L86" s="113">
        <f t="shared" si="20"/>
        <v>-2.6577777777779074E-2</v>
      </c>
      <c r="M86" s="113">
        <f t="shared" si="21"/>
        <v>-2.6577777777779074E-2</v>
      </c>
      <c r="N86" s="51"/>
      <c r="O86" s="113">
        <f t="shared" ref="O86:O101" si="27">-M86</f>
        <v>2.6577777777779074E-2</v>
      </c>
      <c r="P86" s="115">
        <v>-0.04</v>
      </c>
      <c r="Q86" s="55">
        <v>134800</v>
      </c>
      <c r="R86" s="115">
        <v>-0.04</v>
      </c>
      <c r="S86" s="113">
        <f t="shared" si="26"/>
        <v>-2.6577777777779074E-2</v>
      </c>
      <c r="T86" s="51"/>
      <c r="U86" s="113">
        <f t="shared" si="22"/>
        <v>2.6577777777779074E-2</v>
      </c>
      <c r="V86" s="113">
        <f t="shared" si="23"/>
        <v>2.6577777777779074E-2</v>
      </c>
      <c r="W86" s="113">
        <f t="shared" si="24"/>
        <v>2.6577777777779074E-2</v>
      </c>
      <c r="X86" s="112">
        <v>-0.04</v>
      </c>
      <c r="Y86" s="68"/>
      <c r="Z86" s="8"/>
      <c r="AA86" s="8"/>
    </row>
    <row r="87" spans="1:27" s="47" customFormat="1" x14ac:dyDescent="0.3">
      <c r="A87" s="46"/>
      <c r="B87" s="46"/>
      <c r="C87" s="46"/>
      <c r="D87" s="46"/>
      <c r="E87" s="46"/>
      <c r="F87" s="46"/>
      <c r="G87" s="46"/>
      <c r="H87" s="46"/>
      <c r="I87" s="71" t="s">
        <v>44</v>
      </c>
      <c r="J87" s="112">
        <v>-0.04</v>
      </c>
      <c r="K87" s="113">
        <f t="shared" si="19"/>
        <v>-2.377777777777778E-2</v>
      </c>
      <c r="L87" s="113">
        <f t="shared" si="20"/>
        <v>-2.377777777777778E-2</v>
      </c>
      <c r="M87" s="113">
        <f t="shared" si="21"/>
        <v>-2.377777777777778E-2</v>
      </c>
      <c r="N87" s="60"/>
      <c r="O87" s="113">
        <f t="shared" si="27"/>
        <v>2.377777777777778E-2</v>
      </c>
      <c r="P87" s="115">
        <v>-0.04</v>
      </c>
      <c r="Q87" s="61">
        <f>B4</f>
        <v>134825.20000000001</v>
      </c>
      <c r="R87" s="115">
        <v>-0.04</v>
      </c>
      <c r="S87" s="113">
        <f t="shared" si="26"/>
        <v>-2.377777777777778E-2</v>
      </c>
      <c r="T87" s="60"/>
      <c r="U87" s="113">
        <f t="shared" si="22"/>
        <v>2.377777777777778E-2</v>
      </c>
      <c r="V87" s="113">
        <f t="shared" si="23"/>
        <v>2.377777777777778E-2</v>
      </c>
      <c r="W87" s="113">
        <f t="shared" si="24"/>
        <v>2.377777777777778E-2</v>
      </c>
      <c r="X87" s="112">
        <v>-0.04</v>
      </c>
      <c r="Y87" s="72" t="s">
        <v>44</v>
      </c>
      <c r="Z87" s="46"/>
      <c r="AA87" s="46"/>
    </row>
    <row r="88" spans="1:27" x14ac:dyDescent="0.3">
      <c r="I88" s="67"/>
      <c r="J88" s="112">
        <v>-0.04</v>
      </c>
      <c r="K88" s="113">
        <f t="shared" si="19"/>
        <v>-2.1022222222223517E-2</v>
      </c>
      <c r="L88" s="113">
        <f t="shared" si="20"/>
        <v>-2.1022222222223517E-2</v>
      </c>
      <c r="M88" s="113">
        <f t="shared" si="21"/>
        <v>-2.1022222222223517E-2</v>
      </c>
      <c r="N88" s="51"/>
      <c r="O88" s="113">
        <f t="shared" si="27"/>
        <v>2.1022222222223517E-2</v>
      </c>
      <c r="P88" s="115">
        <v>-0.04</v>
      </c>
      <c r="Q88" s="50">
        <v>134850</v>
      </c>
      <c r="R88" s="115">
        <v>-0.04</v>
      </c>
      <c r="S88" s="113">
        <f t="shared" si="26"/>
        <v>-2.1022222222223517E-2</v>
      </c>
      <c r="T88" s="51"/>
      <c r="U88" s="113">
        <f t="shared" si="22"/>
        <v>2.1022222222223517E-2</v>
      </c>
      <c r="V88" s="113">
        <f t="shared" si="23"/>
        <v>2.1022222222223517E-2</v>
      </c>
      <c r="W88" s="113">
        <f t="shared" si="24"/>
        <v>2.1022222222223517E-2</v>
      </c>
      <c r="X88" s="112">
        <v>-0.04</v>
      </c>
      <c r="Y88" s="68"/>
      <c r="Z88" s="8"/>
      <c r="AA88" s="8"/>
    </row>
    <row r="89" spans="1:27" x14ac:dyDescent="0.3">
      <c r="I89" s="67"/>
      <c r="J89" s="112">
        <v>-0.04</v>
      </c>
      <c r="K89" s="113">
        <f t="shared" si="19"/>
        <v>-1.8244444444445739E-2</v>
      </c>
      <c r="L89" s="113">
        <f t="shared" si="20"/>
        <v>-1.8244444444445739E-2</v>
      </c>
      <c r="M89" s="113">
        <f t="shared" si="21"/>
        <v>-1.8244444444445739E-2</v>
      </c>
      <c r="N89" s="51"/>
      <c r="O89" s="113">
        <f t="shared" si="27"/>
        <v>1.8244444444445739E-2</v>
      </c>
      <c r="P89" s="115">
        <v>-0.04</v>
      </c>
      <c r="Q89" s="50">
        <v>134875</v>
      </c>
      <c r="R89" s="115">
        <v>-0.04</v>
      </c>
      <c r="S89" s="113">
        <f t="shared" si="26"/>
        <v>-1.8244444444445739E-2</v>
      </c>
      <c r="T89" s="51"/>
      <c r="U89" s="113">
        <f t="shared" si="22"/>
        <v>1.8244444444445739E-2</v>
      </c>
      <c r="V89" s="113">
        <f t="shared" si="23"/>
        <v>1.8244444444445739E-2</v>
      </c>
      <c r="W89" s="113">
        <f t="shared" si="24"/>
        <v>1.8244444444445739E-2</v>
      </c>
      <c r="X89" s="112">
        <v>-0.04</v>
      </c>
      <c r="Y89" s="68"/>
      <c r="Z89" s="8"/>
      <c r="AA89" s="8"/>
    </row>
    <row r="90" spans="1:27" x14ac:dyDescent="0.3">
      <c r="I90" s="67"/>
      <c r="J90" s="112">
        <v>-0.04</v>
      </c>
      <c r="K90" s="113">
        <f t="shared" si="19"/>
        <v>-1.6E-2</v>
      </c>
      <c r="L90" s="113">
        <f t="shared" si="20"/>
        <v>-1.6E-2</v>
      </c>
      <c r="M90" s="113">
        <f t="shared" si="21"/>
        <v>-1.6E-2</v>
      </c>
      <c r="N90" s="51"/>
      <c r="O90" s="113">
        <f t="shared" si="27"/>
        <v>1.6E-2</v>
      </c>
      <c r="P90" s="115">
        <v>-0.04</v>
      </c>
      <c r="Q90" s="62">
        <f>Q82+B15</f>
        <v>134895.20000000001</v>
      </c>
      <c r="R90" s="115">
        <v>-0.04</v>
      </c>
      <c r="S90" s="113">
        <f>-U90</f>
        <v>-1.6E-2</v>
      </c>
      <c r="T90" s="51"/>
      <c r="U90" s="113">
        <f t="shared" si="22"/>
        <v>1.6E-2</v>
      </c>
      <c r="V90" s="113">
        <f t="shared" si="23"/>
        <v>1.6E-2</v>
      </c>
      <c r="W90" s="113">
        <f t="shared" si="24"/>
        <v>1.6E-2</v>
      </c>
      <c r="X90" s="112">
        <v>-0.04</v>
      </c>
      <c r="Y90" s="68"/>
      <c r="Z90" s="8"/>
      <c r="AA90" s="8"/>
    </row>
    <row r="91" spans="1:27" x14ac:dyDescent="0.3">
      <c r="I91" s="67"/>
      <c r="J91" s="112">
        <v>-0.04</v>
      </c>
      <c r="K91" s="112">
        <v>-1.6E-2</v>
      </c>
      <c r="L91" s="112">
        <v>-1.6E-2</v>
      </c>
      <c r="M91" s="113">
        <f t="shared" ref="M91:M96" si="28">$M$90+((Q91-$Q$90)/(($B$7)*(12)))</f>
        <v>-1.440000000000388E-2</v>
      </c>
      <c r="N91" s="51"/>
      <c r="O91" s="113">
        <f t="shared" si="27"/>
        <v>1.440000000000388E-2</v>
      </c>
      <c r="P91" s="115">
        <v>-0.04</v>
      </c>
      <c r="Q91" s="50">
        <v>134900</v>
      </c>
      <c r="R91" s="115">
        <v>-0.04</v>
      </c>
      <c r="S91" s="112">
        <f>-U91</f>
        <v>-1.6E-2</v>
      </c>
      <c r="T91" s="51"/>
      <c r="U91" s="112">
        <v>1.6E-2</v>
      </c>
      <c r="V91" s="113">
        <f t="shared" ref="V91:V101" si="29">$V$90-((Q91-$Q$90)/(($B$7)*(24)))</f>
        <v>1.5200000000001941E-2</v>
      </c>
      <c r="W91" s="113">
        <f t="shared" ref="W91:W101" si="30">$W$90-((Q91-$Q$90)/(($B$7)*(24)))</f>
        <v>1.5200000000001941E-2</v>
      </c>
      <c r="X91" s="112">
        <v>-0.04</v>
      </c>
      <c r="Y91" s="68"/>
      <c r="Z91" s="8"/>
      <c r="AA91" s="8"/>
    </row>
    <row r="92" spans="1:27" x14ac:dyDescent="0.3">
      <c r="I92" s="67"/>
      <c r="J92" s="112">
        <v>-0.04</v>
      </c>
      <c r="K92" s="112">
        <v>-1.6E-2</v>
      </c>
      <c r="L92" s="112">
        <v>-1.6E-2</v>
      </c>
      <c r="M92" s="113">
        <f t="shared" si="28"/>
        <v>-6.066666666670547E-3</v>
      </c>
      <c r="N92" s="51"/>
      <c r="O92" s="113">
        <f t="shared" si="27"/>
        <v>6.066666666670547E-3</v>
      </c>
      <c r="P92" s="115">
        <v>-0.04</v>
      </c>
      <c r="Q92" s="50">
        <v>134925</v>
      </c>
      <c r="R92" s="115">
        <v>-0.04</v>
      </c>
      <c r="S92" s="112">
        <f t="shared" ref="S92:S101" si="31">-U92</f>
        <v>-1.6E-2</v>
      </c>
      <c r="T92" s="51"/>
      <c r="U92" s="112">
        <v>1.6E-2</v>
      </c>
      <c r="V92" s="113">
        <f t="shared" si="29"/>
        <v>1.1033333333335274E-2</v>
      </c>
      <c r="W92" s="113">
        <f t="shared" si="30"/>
        <v>1.1033333333335274E-2</v>
      </c>
      <c r="X92" s="112">
        <v>-0.04</v>
      </c>
      <c r="Y92" s="68"/>
      <c r="Z92" s="8"/>
      <c r="AA92" s="8"/>
    </row>
    <row r="93" spans="1:27" x14ac:dyDescent="0.3">
      <c r="I93" s="70" t="s">
        <v>83</v>
      </c>
      <c r="J93" s="112">
        <v>-0.04</v>
      </c>
      <c r="K93" s="112">
        <v>-1.6E-2</v>
      </c>
      <c r="L93" s="112">
        <v>-1.6E-2</v>
      </c>
      <c r="M93" s="113">
        <f t="shared" si="28"/>
        <v>0</v>
      </c>
      <c r="N93" s="51"/>
      <c r="O93" s="113">
        <f t="shared" si="27"/>
        <v>0</v>
      </c>
      <c r="P93" s="115">
        <v>-0.04</v>
      </c>
      <c r="Q93" s="62">
        <f>Q90+48</f>
        <v>134943.20000000001</v>
      </c>
      <c r="R93" s="115">
        <v>-0.04</v>
      </c>
      <c r="S93" s="112">
        <f t="shared" si="31"/>
        <v>-1.6E-2</v>
      </c>
      <c r="T93" s="51"/>
      <c r="U93" s="112">
        <v>1.6E-2</v>
      </c>
      <c r="V93" s="113">
        <f t="shared" si="29"/>
        <v>8.0000000000000002E-3</v>
      </c>
      <c r="W93" s="113">
        <f t="shared" si="30"/>
        <v>8.0000000000000002E-3</v>
      </c>
      <c r="X93" s="112">
        <v>-0.04</v>
      </c>
      <c r="Y93" s="68"/>
      <c r="Z93" s="8"/>
      <c r="AA93" s="8"/>
    </row>
    <row r="94" spans="1:27" x14ac:dyDescent="0.3">
      <c r="I94" s="67"/>
      <c r="J94" s="112">
        <v>-0.04</v>
      </c>
      <c r="K94" s="112">
        <v>-1.6E-2</v>
      </c>
      <c r="L94" s="112">
        <v>-1.6E-2</v>
      </c>
      <c r="M94" s="113">
        <f t="shared" si="28"/>
        <v>2.2666666666627845E-3</v>
      </c>
      <c r="N94" s="51"/>
      <c r="O94" s="113">
        <f t="shared" si="27"/>
        <v>-2.2666666666627845E-3</v>
      </c>
      <c r="P94" s="115">
        <v>-0.04</v>
      </c>
      <c r="Q94" s="50">
        <v>134950</v>
      </c>
      <c r="R94" s="115">
        <v>-0.04</v>
      </c>
      <c r="S94" s="112">
        <f t="shared" si="31"/>
        <v>-1.6E-2</v>
      </c>
      <c r="T94" s="51"/>
      <c r="U94" s="112">
        <v>1.6E-2</v>
      </c>
      <c r="V94" s="113">
        <f t="shared" si="29"/>
        <v>6.8666666666686079E-3</v>
      </c>
      <c r="W94" s="113">
        <f t="shared" si="30"/>
        <v>6.8666666666686079E-3</v>
      </c>
      <c r="X94" s="112">
        <v>-0.04</v>
      </c>
      <c r="Y94" s="68"/>
      <c r="Z94" s="8"/>
      <c r="AA94" s="8"/>
    </row>
    <row r="95" spans="1:27" x14ac:dyDescent="0.3">
      <c r="I95" s="67"/>
      <c r="J95" s="112">
        <v>-0.04</v>
      </c>
      <c r="K95" s="112">
        <v>-1.6E-2</v>
      </c>
      <c r="L95" s="112">
        <v>-1.6E-2</v>
      </c>
      <c r="M95" s="113">
        <f t="shared" si="28"/>
        <v>1.0599999999996119E-2</v>
      </c>
      <c r="N95" s="51"/>
      <c r="O95" s="113">
        <f t="shared" si="27"/>
        <v>-1.0599999999996119E-2</v>
      </c>
      <c r="P95" s="115">
        <v>-0.04</v>
      </c>
      <c r="Q95" s="50">
        <v>134975</v>
      </c>
      <c r="R95" s="115">
        <v>-0.04</v>
      </c>
      <c r="S95" s="112">
        <f t="shared" si="31"/>
        <v>-1.6E-2</v>
      </c>
      <c r="T95" s="51"/>
      <c r="U95" s="112">
        <v>1.6E-2</v>
      </c>
      <c r="V95" s="113">
        <f t="shared" si="29"/>
        <v>2.7000000000019404E-3</v>
      </c>
      <c r="W95" s="113">
        <f t="shared" si="30"/>
        <v>2.7000000000019404E-3</v>
      </c>
      <c r="X95" s="112">
        <v>-0.04</v>
      </c>
      <c r="Y95" s="68"/>
      <c r="Z95" s="8"/>
      <c r="AA95" s="8"/>
    </row>
    <row r="96" spans="1:27" x14ac:dyDescent="0.3">
      <c r="I96" s="70" t="s">
        <v>84</v>
      </c>
      <c r="J96" s="112">
        <v>-0.04</v>
      </c>
      <c r="K96" s="112">
        <v>-1.6E-2</v>
      </c>
      <c r="L96" s="112">
        <v>-1.6E-2</v>
      </c>
      <c r="M96" s="113">
        <f t="shared" si="28"/>
        <v>1.6E-2</v>
      </c>
      <c r="N96" s="51"/>
      <c r="O96" s="113">
        <f t="shared" si="27"/>
        <v>-1.6E-2</v>
      </c>
      <c r="P96" s="115">
        <v>-0.04</v>
      </c>
      <c r="Q96" s="62">
        <f>Q87+B17</f>
        <v>134991.20000000001</v>
      </c>
      <c r="R96" s="115">
        <v>-0.04</v>
      </c>
      <c r="S96" s="112">
        <f t="shared" si="31"/>
        <v>-1.6E-2</v>
      </c>
      <c r="T96" s="51"/>
      <c r="U96" s="112">
        <v>1.6E-2</v>
      </c>
      <c r="V96" s="113">
        <f t="shared" si="29"/>
        <v>0</v>
      </c>
      <c r="W96" s="113">
        <f t="shared" si="30"/>
        <v>0</v>
      </c>
      <c r="X96" s="112">
        <v>-0.04</v>
      </c>
      <c r="Y96" s="68" t="s">
        <v>81</v>
      </c>
      <c r="Z96" s="8"/>
      <c r="AA96" s="8"/>
    </row>
    <row r="97" spans="9:27" x14ac:dyDescent="0.3">
      <c r="I97" s="67"/>
      <c r="J97" s="112">
        <v>-0.04</v>
      </c>
      <c r="K97" s="112">
        <v>-1.6E-2</v>
      </c>
      <c r="L97" s="112">
        <v>-1.6E-2</v>
      </c>
      <c r="M97" s="112">
        <v>1.6E-2</v>
      </c>
      <c r="N97" s="51"/>
      <c r="O97" s="112">
        <f t="shared" si="27"/>
        <v>-1.6E-2</v>
      </c>
      <c r="P97" s="115">
        <v>-0.04</v>
      </c>
      <c r="Q97" s="50">
        <v>135000</v>
      </c>
      <c r="R97" s="115">
        <v>-0.04</v>
      </c>
      <c r="S97" s="112">
        <f t="shared" si="31"/>
        <v>-1.6E-2</v>
      </c>
      <c r="T97" s="51"/>
      <c r="U97" s="112">
        <v>1.6E-2</v>
      </c>
      <c r="V97" s="113">
        <f t="shared" si="29"/>
        <v>-1.4666666666647253E-3</v>
      </c>
      <c r="W97" s="113">
        <f t="shared" si="30"/>
        <v>-1.4666666666647253E-3</v>
      </c>
      <c r="X97" s="112">
        <v>-0.04</v>
      </c>
      <c r="Y97" s="68"/>
      <c r="Z97" s="8"/>
      <c r="AA97" s="8"/>
    </row>
    <row r="98" spans="9:27" x14ac:dyDescent="0.3">
      <c r="I98" s="67"/>
      <c r="J98" s="112">
        <v>-0.04</v>
      </c>
      <c r="K98" s="112">
        <v>-1.6E-2</v>
      </c>
      <c r="L98" s="112">
        <v>-1.6E-2</v>
      </c>
      <c r="M98" s="112">
        <v>1.6E-2</v>
      </c>
      <c r="N98" s="51"/>
      <c r="O98" s="112">
        <f t="shared" si="27"/>
        <v>-1.6E-2</v>
      </c>
      <c r="P98" s="115">
        <v>-0.04</v>
      </c>
      <c r="Q98" s="50">
        <v>135025</v>
      </c>
      <c r="R98" s="115">
        <v>-0.04</v>
      </c>
      <c r="S98" s="112">
        <f t="shared" si="31"/>
        <v>-1.6E-2</v>
      </c>
      <c r="T98" s="51"/>
      <c r="U98" s="112">
        <v>1.6E-2</v>
      </c>
      <c r="V98" s="113">
        <f t="shared" si="29"/>
        <v>-5.6333333333313911E-3</v>
      </c>
      <c r="W98" s="113">
        <f t="shared" si="30"/>
        <v>-5.6333333333313911E-3</v>
      </c>
      <c r="X98" s="112">
        <v>-0.04</v>
      </c>
      <c r="Y98" s="68"/>
      <c r="Z98" s="8"/>
      <c r="AA98" s="8"/>
    </row>
    <row r="99" spans="9:27" x14ac:dyDescent="0.3">
      <c r="I99" s="67"/>
      <c r="J99" s="112">
        <v>-0.04</v>
      </c>
      <c r="K99" s="112">
        <v>-1.6E-2</v>
      </c>
      <c r="L99" s="112">
        <v>-1.6E-2</v>
      </c>
      <c r="M99" s="112">
        <v>1.6E-2</v>
      </c>
      <c r="N99" s="51"/>
      <c r="O99" s="112">
        <f t="shared" si="27"/>
        <v>-1.6E-2</v>
      </c>
      <c r="P99" s="115">
        <v>-0.04</v>
      </c>
      <c r="Q99" s="50">
        <v>135050</v>
      </c>
      <c r="R99" s="115">
        <v>-0.04</v>
      </c>
      <c r="S99" s="112">
        <f t="shared" si="31"/>
        <v>-1.6E-2</v>
      </c>
      <c r="T99" s="51"/>
      <c r="U99" s="112">
        <v>1.6E-2</v>
      </c>
      <c r="V99" s="113">
        <f t="shared" si="29"/>
        <v>-9.7999999999980603E-3</v>
      </c>
      <c r="W99" s="113">
        <f t="shared" si="30"/>
        <v>-9.7999999999980603E-3</v>
      </c>
      <c r="X99" s="112">
        <v>-0.04</v>
      </c>
      <c r="Y99" s="68"/>
      <c r="Z99" s="8"/>
      <c r="AA99" s="8"/>
    </row>
    <row r="100" spans="9:27" x14ac:dyDescent="0.3">
      <c r="I100" s="67"/>
      <c r="J100" s="112">
        <v>-0.04</v>
      </c>
      <c r="K100" s="112">
        <v>-1.6E-2</v>
      </c>
      <c r="L100" s="112">
        <v>-1.6E-2</v>
      </c>
      <c r="M100" s="112">
        <v>1.6E-2</v>
      </c>
      <c r="N100" s="51"/>
      <c r="O100" s="112">
        <f t="shared" si="27"/>
        <v>-1.6E-2</v>
      </c>
      <c r="P100" s="115">
        <v>-0.04</v>
      </c>
      <c r="Q100" s="50">
        <v>135075</v>
      </c>
      <c r="R100" s="115">
        <v>-0.04</v>
      </c>
      <c r="S100" s="112">
        <f t="shared" si="31"/>
        <v>-1.6E-2</v>
      </c>
      <c r="T100" s="51"/>
      <c r="U100" s="112">
        <v>1.6E-2</v>
      </c>
      <c r="V100" s="113">
        <f t="shared" si="29"/>
        <v>-1.3966666666664726E-2</v>
      </c>
      <c r="W100" s="113">
        <f t="shared" si="30"/>
        <v>-1.3966666666664726E-2</v>
      </c>
      <c r="X100" s="112">
        <v>-0.04</v>
      </c>
      <c r="Y100" s="68"/>
      <c r="Z100" s="8"/>
      <c r="AA100" s="8"/>
    </row>
    <row r="101" spans="9:27" ht="15" thickBot="1" x14ac:dyDescent="0.35">
      <c r="I101" s="73"/>
      <c r="J101" s="117">
        <v>-0.04</v>
      </c>
      <c r="K101" s="117">
        <v>-1.6E-2</v>
      </c>
      <c r="L101" s="117">
        <v>-1.6E-2</v>
      </c>
      <c r="M101" s="117">
        <v>1.6E-2</v>
      </c>
      <c r="N101" s="76"/>
      <c r="O101" s="117">
        <f t="shared" si="27"/>
        <v>-1.6E-2</v>
      </c>
      <c r="P101" s="116">
        <v>-0.04</v>
      </c>
      <c r="Q101" s="78">
        <f>Q96+B12</f>
        <v>135087.20000000001</v>
      </c>
      <c r="R101" s="116">
        <v>-0.04</v>
      </c>
      <c r="S101" s="117">
        <f t="shared" si="31"/>
        <v>-1.6E-2</v>
      </c>
      <c r="T101" s="76"/>
      <c r="U101" s="117">
        <v>1.6E-2</v>
      </c>
      <c r="V101" s="121">
        <f t="shared" si="29"/>
        <v>-1.6E-2</v>
      </c>
      <c r="W101" s="121">
        <f t="shared" si="30"/>
        <v>-1.6E-2</v>
      </c>
      <c r="X101" s="117">
        <v>-0.04</v>
      </c>
      <c r="Y101" s="80" t="s">
        <v>84</v>
      </c>
      <c r="Z101" s="8"/>
      <c r="AA101" s="8"/>
    </row>
    <row r="102" spans="9:27" x14ac:dyDescent="0.3">
      <c r="I102" s="8"/>
      <c r="J102" s="1"/>
      <c r="K102" s="1"/>
      <c r="L102" s="1"/>
      <c r="M102" s="1"/>
      <c r="N102" s="1"/>
      <c r="O102" s="1"/>
      <c r="P102" s="1"/>
      <c r="Q102" s="42"/>
      <c r="R102" s="1"/>
      <c r="S102" s="1"/>
      <c r="T102" s="1"/>
      <c r="Y102" s="35"/>
      <c r="Z102" s="8"/>
      <c r="AA102" s="8"/>
    </row>
    <row r="103" spans="9:27" x14ac:dyDescent="0.3">
      <c r="I103" s="8"/>
      <c r="J103" s="1"/>
      <c r="K103" s="1"/>
      <c r="L103" s="1"/>
      <c r="M103" s="1"/>
      <c r="N103" s="1"/>
      <c r="O103" s="1"/>
      <c r="P103" s="1"/>
      <c r="Q103" s="42"/>
      <c r="R103" s="1"/>
      <c r="S103" s="1"/>
      <c r="T103" s="1"/>
      <c r="Y103" s="35"/>
      <c r="Z103" s="8"/>
      <c r="AA103" s="8"/>
    </row>
    <row r="104" spans="9:27" x14ac:dyDescent="0.3">
      <c r="I104" s="8"/>
      <c r="J104" s="1"/>
      <c r="K104" s="1"/>
      <c r="L104" s="1"/>
      <c r="M104" s="1"/>
      <c r="N104" s="1"/>
      <c r="O104" s="1"/>
      <c r="P104" s="1"/>
      <c r="Q104" s="42"/>
      <c r="R104" s="1"/>
      <c r="S104" s="1"/>
      <c r="T104" s="1"/>
      <c r="Y104" s="35"/>
      <c r="Z104" s="8"/>
      <c r="AA104" s="8"/>
    </row>
    <row r="105" spans="9:27" x14ac:dyDescent="0.3">
      <c r="I105" s="8"/>
      <c r="J105" s="1"/>
      <c r="K105" s="1"/>
      <c r="L105" s="1"/>
      <c r="M105" s="1"/>
      <c r="N105" s="1"/>
      <c r="O105" s="1"/>
      <c r="P105" s="1"/>
      <c r="Q105" s="42"/>
      <c r="Y105" s="35"/>
      <c r="Z105" s="8"/>
      <c r="AA105" s="8"/>
    </row>
    <row r="106" spans="9:27" x14ac:dyDescent="0.3">
      <c r="I106" s="8"/>
      <c r="J106" s="1"/>
      <c r="K106" s="1"/>
      <c r="L106" s="1"/>
      <c r="M106" s="1"/>
      <c r="N106" s="1"/>
      <c r="O106" s="1"/>
      <c r="P106" s="1"/>
      <c r="Q106" s="42"/>
      <c r="Y106" s="35"/>
      <c r="Z106" s="8"/>
      <c r="AA106" s="8"/>
    </row>
    <row r="107" spans="9:27" x14ac:dyDescent="0.3">
      <c r="I107" s="8"/>
      <c r="J107" s="1"/>
      <c r="K107" s="1"/>
      <c r="L107" s="1"/>
      <c r="M107" s="1"/>
      <c r="N107" s="1"/>
      <c r="O107" s="1"/>
      <c r="P107" s="1"/>
      <c r="Q107" s="42"/>
      <c r="Y107" s="35"/>
      <c r="Z107" s="8"/>
      <c r="AA107" s="8"/>
    </row>
    <row r="108" spans="9:27" x14ac:dyDescent="0.3">
      <c r="I108" s="8"/>
      <c r="J108" s="1"/>
      <c r="K108" s="1"/>
      <c r="L108" s="1"/>
      <c r="M108" s="1"/>
      <c r="N108" s="1"/>
      <c r="O108" s="1"/>
      <c r="P108" s="1"/>
      <c r="Q108" s="42"/>
      <c r="Y108" s="35"/>
      <c r="Z108" s="8"/>
      <c r="AA108" s="8"/>
    </row>
    <row r="109" spans="9:27" x14ac:dyDescent="0.3">
      <c r="I109" s="8"/>
      <c r="J109" s="1"/>
      <c r="K109" s="1"/>
      <c r="L109" s="1"/>
      <c r="M109" s="1"/>
      <c r="N109" s="1"/>
      <c r="O109" s="1"/>
      <c r="P109" s="1"/>
      <c r="Q109" s="42"/>
      <c r="Y109" s="35"/>
      <c r="Z109" s="8"/>
      <c r="AA109" s="8"/>
    </row>
  </sheetData>
  <mergeCells count="10">
    <mergeCell ref="D29:F34"/>
    <mergeCell ref="J50:P50"/>
    <mergeCell ref="R50:X50"/>
    <mergeCell ref="J76:X78"/>
    <mergeCell ref="A1:C1"/>
    <mergeCell ref="A11:C11"/>
    <mergeCell ref="D11:F11"/>
    <mergeCell ref="D12:F19"/>
    <mergeCell ref="A28:C28"/>
    <mergeCell ref="D28:F28"/>
  </mergeCells>
  <pageMargins left="0.7" right="0.7" top="0.75" bottom="0.75" header="0.3" footer="0.3"/>
  <pageSetup orientation="portrait" r:id="rId1"/>
  <ignoredErrors>
    <ignoredError sqref="Q8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1101A-64E3-4B52-96DD-6E1BF95F0ABB}">
  <dimension ref="A1:AA98"/>
  <sheetViews>
    <sheetView topLeftCell="O73" zoomScale="145" zoomScaleNormal="145" workbookViewId="0">
      <selection activeCell="S77" sqref="S77:S85"/>
    </sheetView>
  </sheetViews>
  <sheetFormatPr defaultRowHeight="14.4" x14ac:dyDescent="0.3"/>
  <cols>
    <col min="1" max="2" width="17.77734375" style="8" bestFit="1" customWidth="1"/>
    <col min="3" max="3" width="59.77734375" style="8" customWidth="1"/>
    <col min="4" max="5" width="17.77734375" style="8" customWidth="1"/>
    <col min="6" max="6" width="59.77734375" style="8" customWidth="1"/>
    <col min="7" max="7" width="7.109375" style="8" bestFit="1" customWidth="1"/>
    <col min="8" max="8" width="15.6640625" style="8" customWidth="1"/>
    <col min="9" max="9" width="55.88671875" bestFit="1" customWidth="1"/>
    <col min="10" max="10" width="11.109375" style="40" bestFit="1" customWidth="1"/>
    <col min="11" max="13" width="12.33203125" style="40" bestFit="1" customWidth="1"/>
    <col min="14" max="14" width="19.88671875" style="40" bestFit="1" customWidth="1"/>
    <col min="15" max="15" width="12.44140625" style="40" bestFit="1" customWidth="1"/>
    <col min="16" max="16" width="17.33203125" style="40" bestFit="1" customWidth="1"/>
    <col min="17" max="17" width="23" style="41" bestFit="1" customWidth="1"/>
    <col min="18" max="18" width="17" style="42" bestFit="1" customWidth="1"/>
    <col min="19" max="19" width="19.88671875" style="42" bestFit="1" customWidth="1"/>
    <col min="20" max="20" width="19.88671875" style="42" customWidth="1"/>
    <col min="21" max="21" width="12.44140625" style="1" bestFit="1" customWidth="1"/>
    <col min="22" max="23" width="12.44140625" style="1" customWidth="1"/>
    <col min="24" max="24" width="11.109375" style="1" customWidth="1"/>
    <col min="25" max="25" width="45.77734375" style="45" bestFit="1" customWidth="1"/>
  </cols>
  <sheetData>
    <row r="1" spans="1:27" ht="63" customHeight="1" thickBot="1" x14ac:dyDescent="0.35">
      <c r="A1" s="167" t="s">
        <v>112</v>
      </c>
      <c r="B1" s="168"/>
      <c r="C1" s="168"/>
      <c r="D1" s="81"/>
      <c r="E1" s="81"/>
      <c r="F1" s="81"/>
      <c r="G1" s="81"/>
      <c r="H1" s="81"/>
      <c r="I1" s="81"/>
    </row>
    <row r="2" spans="1:27" x14ac:dyDescent="0.3">
      <c r="A2" s="43" t="s">
        <v>42</v>
      </c>
      <c r="B2" s="90">
        <v>145604.84</v>
      </c>
      <c r="C2" s="82"/>
      <c r="D2"/>
      <c r="E2"/>
      <c r="F2"/>
      <c r="G2"/>
      <c r="H2"/>
    </row>
    <row r="3" spans="1:27" x14ac:dyDescent="0.3">
      <c r="A3" s="44" t="s">
        <v>43</v>
      </c>
      <c r="B3" s="91">
        <v>144970.20000000001</v>
      </c>
      <c r="C3" s="83"/>
      <c r="D3"/>
      <c r="E3"/>
      <c r="F3"/>
      <c r="G3"/>
      <c r="H3"/>
    </row>
    <row r="4" spans="1:27" x14ac:dyDescent="0.3">
      <c r="A4" s="44" t="s">
        <v>44</v>
      </c>
      <c r="B4" s="91">
        <v>146238.35999999999</v>
      </c>
      <c r="C4" s="83"/>
      <c r="D4"/>
      <c r="E4"/>
      <c r="F4"/>
      <c r="G4"/>
      <c r="H4"/>
    </row>
    <row r="5" spans="1:27" ht="16.2" x14ac:dyDescent="0.3">
      <c r="A5" s="44" t="s">
        <v>1</v>
      </c>
      <c r="B5" s="37" t="s">
        <v>115</v>
      </c>
      <c r="C5" s="83" t="s">
        <v>102</v>
      </c>
      <c r="D5"/>
      <c r="E5" s="156">
        <f>B4-B3</f>
        <v>1268.1599999999744</v>
      </c>
      <c r="F5"/>
      <c r="G5"/>
      <c r="H5"/>
    </row>
    <row r="6" spans="1:27" x14ac:dyDescent="0.3">
      <c r="A6" s="44" t="s">
        <v>45</v>
      </c>
      <c r="B6" s="37" t="s">
        <v>6</v>
      </c>
      <c r="C6" s="83"/>
      <c r="D6"/>
      <c r="E6"/>
      <c r="F6"/>
      <c r="G6"/>
      <c r="H6"/>
    </row>
    <row r="7" spans="1:27" x14ac:dyDescent="0.3">
      <c r="A7" s="44" t="s">
        <v>46</v>
      </c>
      <c r="B7" s="37">
        <v>250</v>
      </c>
      <c r="C7" s="83"/>
      <c r="D7"/>
      <c r="E7"/>
      <c r="F7"/>
      <c r="G7"/>
      <c r="H7"/>
    </row>
    <row r="8" spans="1:27" x14ac:dyDescent="0.3">
      <c r="A8" s="44" t="s">
        <v>8</v>
      </c>
      <c r="B8" s="38" t="s">
        <v>114</v>
      </c>
      <c r="C8" s="37" t="s">
        <v>48</v>
      </c>
      <c r="I8" s="8"/>
      <c r="K8" s="1"/>
      <c r="L8" s="1"/>
      <c r="M8" s="1"/>
      <c r="N8" s="1"/>
      <c r="O8" s="1"/>
      <c r="P8" s="1"/>
      <c r="Q8" s="42"/>
      <c r="Y8" s="35"/>
      <c r="Z8" s="8"/>
      <c r="AA8" s="8"/>
    </row>
    <row r="9" spans="1:27" x14ac:dyDescent="0.3">
      <c r="A9" s="44"/>
      <c r="B9" s="39">
        <v>1.7999999999999999E-2</v>
      </c>
      <c r="C9" s="83" t="s">
        <v>49</v>
      </c>
      <c r="D9"/>
      <c r="E9"/>
      <c r="F9"/>
      <c r="G9"/>
      <c r="H9"/>
      <c r="P9" s="1"/>
      <c r="Q9" s="42"/>
      <c r="Y9" s="35"/>
      <c r="Z9" s="8"/>
      <c r="AA9" s="8"/>
    </row>
    <row r="10" spans="1:27" ht="15" thickBot="1" x14ac:dyDescent="0.35">
      <c r="A10" s="44" t="s">
        <v>51</v>
      </c>
      <c r="B10" s="39">
        <v>1.6E-2</v>
      </c>
      <c r="C10" s="83"/>
      <c r="D10"/>
      <c r="E10"/>
      <c r="F10"/>
      <c r="G10"/>
      <c r="H10"/>
      <c r="P10" s="1"/>
      <c r="Q10" s="42"/>
      <c r="Y10" s="35"/>
      <c r="Z10" s="8"/>
      <c r="AA10" s="8"/>
    </row>
    <row r="11" spans="1:27" ht="15" thickBot="1" x14ac:dyDescent="0.35">
      <c r="A11" s="169" t="s">
        <v>93</v>
      </c>
      <c r="B11" s="170"/>
      <c r="C11" s="171"/>
      <c r="D11" s="169" t="s">
        <v>95</v>
      </c>
      <c r="E11" s="170"/>
      <c r="F11" s="171"/>
      <c r="G11"/>
      <c r="H11"/>
      <c r="P11" s="1"/>
      <c r="Q11" s="42"/>
      <c r="Y11" s="35"/>
      <c r="Z11" s="8"/>
      <c r="AA11" s="8"/>
    </row>
    <row r="12" spans="1:27" x14ac:dyDescent="0.3">
      <c r="A12" s="92" t="s">
        <v>50</v>
      </c>
      <c r="B12" s="84">
        <f>(24)*(B10)*(B7)</f>
        <v>96</v>
      </c>
      <c r="C12" s="84" t="s">
        <v>61</v>
      </c>
      <c r="D12" s="175"/>
      <c r="E12" s="176"/>
      <c r="F12" s="177"/>
      <c r="I12" s="8"/>
      <c r="J12" s="1"/>
      <c r="K12" s="1"/>
      <c r="L12" s="1"/>
      <c r="M12" s="1"/>
      <c r="N12" s="1"/>
      <c r="O12" s="1"/>
      <c r="P12" s="1"/>
      <c r="Q12" s="42"/>
      <c r="Y12" s="35"/>
      <c r="Z12" s="8"/>
      <c r="AA12" s="8"/>
    </row>
    <row r="13" spans="1:27" x14ac:dyDescent="0.3">
      <c r="A13" s="92" t="s">
        <v>53</v>
      </c>
      <c r="B13" s="84" t="s">
        <v>54</v>
      </c>
      <c r="C13" s="84" t="s">
        <v>58</v>
      </c>
      <c r="D13" s="178"/>
      <c r="E13" s="179"/>
      <c r="F13" s="180"/>
      <c r="I13" s="8"/>
      <c r="J13" s="1"/>
      <c r="K13" s="1"/>
      <c r="L13" s="1"/>
      <c r="M13" s="1"/>
      <c r="N13" s="1"/>
      <c r="O13" s="1"/>
      <c r="P13" s="1"/>
      <c r="Q13" s="42"/>
      <c r="Y13" s="35"/>
      <c r="Z13" s="8"/>
      <c r="AA13" s="8"/>
    </row>
    <row r="14" spans="1:27" x14ac:dyDescent="0.3">
      <c r="A14" s="92" t="s">
        <v>55</v>
      </c>
      <c r="B14" s="84">
        <f>(24)*(B10)*(B7)</f>
        <v>96</v>
      </c>
      <c r="C14" s="84"/>
      <c r="D14" s="178"/>
      <c r="E14" s="179"/>
      <c r="F14" s="180"/>
      <c r="I14" s="8"/>
      <c r="J14" s="1"/>
      <c r="K14" s="1"/>
      <c r="L14" s="1"/>
      <c r="M14" s="1"/>
      <c r="N14" s="1"/>
      <c r="O14" s="1"/>
      <c r="P14" s="1"/>
      <c r="Q14" s="42"/>
      <c r="Y14" s="35"/>
      <c r="Z14" s="8"/>
      <c r="AA14" s="8"/>
    </row>
    <row r="15" spans="1:27" x14ac:dyDescent="0.3">
      <c r="A15" s="92" t="s">
        <v>56</v>
      </c>
      <c r="B15" s="84">
        <f>(36)*(B9-B10)*(B7)</f>
        <v>17.999999999999986</v>
      </c>
      <c r="C15" s="84" t="s">
        <v>60</v>
      </c>
      <c r="D15" s="178"/>
      <c r="E15" s="179"/>
      <c r="F15" s="180"/>
      <c r="I15" s="8"/>
      <c r="J15" s="1"/>
      <c r="K15" s="1"/>
      <c r="L15" s="1"/>
      <c r="M15" s="1"/>
      <c r="N15" s="1"/>
      <c r="O15" s="1"/>
      <c r="P15" s="1"/>
      <c r="Q15" s="42"/>
      <c r="Y15" s="35"/>
      <c r="Z15" s="8"/>
      <c r="AA15" s="8"/>
    </row>
    <row r="16" spans="1:27" x14ac:dyDescent="0.3">
      <c r="A16" s="92" t="s">
        <v>53</v>
      </c>
      <c r="B16" s="84">
        <f>B14+B15</f>
        <v>113.99999999999999</v>
      </c>
      <c r="C16" s="84"/>
      <c r="D16" s="178"/>
      <c r="E16" s="179"/>
      <c r="F16" s="180"/>
      <c r="I16" s="8"/>
      <c r="J16" s="1"/>
      <c r="K16" s="1"/>
      <c r="L16" s="1"/>
      <c r="M16" s="1"/>
      <c r="N16" s="1"/>
      <c r="O16" s="1"/>
      <c r="P16" s="1"/>
      <c r="Q16" s="42"/>
      <c r="Y16" s="35"/>
      <c r="Z16" s="8"/>
      <c r="AA16" s="8"/>
    </row>
    <row r="17" spans="1:27" x14ac:dyDescent="0.3">
      <c r="A17" s="92" t="s">
        <v>62</v>
      </c>
      <c r="B17" s="84">
        <f>(2/3)*(B16)</f>
        <v>75.999999999999986</v>
      </c>
      <c r="C17" s="84"/>
      <c r="D17" s="178"/>
      <c r="E17" s="179"/>
      <c r="F17" s="180"/>
      <c r="I17" s="8"/>
      <c r="J17" s="1"/>
      <c r="K17" s="1"/>
      <c r="L17" s="1"/>
      <c r="M17" s="1"/>
      <c r="N17" s="1"/>
      <c r="O17" s="1"/>
      <c r="P17" s="1"/>
      <c r="Q17" s="42"/>
      <c r="Y17" s="35"/>
      <c r="Z17" s="8"/>
      <c r="AA17" s="8"/>
    </row>
    <row r="18" spans="1:27" x14ac:dyDescent="0.3">
      <c r="A18" s="92" t="s">
        <v>86</v>
      </c>
      <c r="B18" s="84">
        <f>(1/3)*(B16)</f>
        <v>37.999999999999993</v>
      </c>
      <c r="C18" s="84"/>
      <c r="D18" s="178"/>
      <c r="E18" s="179"/>
      <c r="F18" s="180"/>
      <c r="I18" s="8"/>
      <c r="J18" s="1"/>
      <c r="K18" s="1"/>
      <c r="L18" s="1"/>
      <c r="M18" s="1"/>
      <c r="N18" s="1"/>
      <c r="O18" s="1"/>
      <c r="P18" s="1"/>
      <c r="Q18" s="42"/>
      <c r="Y18" s="35"/>
      <c r="Z18" s="8"/>
      <c r="AA18" s="8"/>
    </row>
    <row r="19" spans="1:27" x14ac:dyDescent="0.3">
      <c r="A19" s="98"/>
      <c r="B19" s="99"/>
      <c r="C19" s="99"/>
      <c r="D19" s="181"/>
      <c r="E19" s="182"/>
      <c r="F19" s="183"/>
      <c r="I19" s="8"/>
      <c r="J19" s="1"/>
      <c r="K19" s="1"/>
      <c r="L19" s="1"/>
      <c r="M19" s="1"/>
      <c r="N19" s="1"/>
      <c r="O19" s="1"/>
      <c r="P19" s="1"/>
      <c r="Q19" s="42"/>
      <c r="Y19" s="35"/>
      <c r="Z19" s="8"/>
      <c r="AA19" s="8"/>
    </row>
    <row r="20" spans="1:27" x14ac:dyDescent="0.3">
      <c r="A20" s="92" t="s">
        <v>88</v>
      </c>
      <c r="B20" s="94">
        <f>(B21)-B12</f>
        <v>144798.20000000001</v>
      </c>
      <c r="C20" s="84" t="s">
        <v>89</v>
      </c>
      <c r="D20" s="92" t="s">
        <v>90</v>
      </c>
      <c r="E20" s="94">
        <f>E22-(B18)</f>
        <v>146200.35999999999</v>
      </c>
      <c r="F20" s="84" t="s">
        <v>98</v>
      </c>
      <c r="I20" s="8"/>
      <c r="J20" s="1"/>
      <c r="K20" s="1"/>
      <c r="L20" s="1"/>
      <c r="M20" s="1"/>
      <c r="N20" s="1"/>
      <c r="O20" s="1"/>
      <c r="P20" s="1"/>
      <c r="Q20" s="42"/>
      <c r="Y20" s="35"/>
      <c r="Z20" s="8"/>
      <c r="AA20" s="8"/>
    </row>
    <row r="21" spans="1:27" x14ac:dyDescent="0.3">
      <c r="A21" s="92"/>
      <c r="B21" s="94">
        <f>(B25)-(B17)</f>
        <v>144894.20000000001</v>
      </c>
      <c r="C21" s="84" t="s">
        <v>96</v>
      </c>
      <c r="D21" s="92"/>
      <c r="E21" s="94">
        <f>E20+((B9-B10)*(36)*(B7))</f>
        <v>146218.35999999999</v>
      </c>
      <c r="F21" s="96">
        <v>1.6E-2</v>
      </c>
      <c r="I21" s="8"/>
      <c r="J21" s="1"/>
      <c r="K21" s="1"/>
      <c r="L21" s="1"/>
      <c r="M21" s="1"/>
      <c r="N21" s="1"/>
      <c r="O21" s="1"/>
      <c r="P21" s="1"/>
      <c r="Q21" s="42"/>
      <c r="Y21" s="35"/>
      <c r="Z21" s="8"/>
      <c r="AA21" s="8"/>
    </row>
    <row r="22" spans="1:27" x14ac:dyDescent="0.3">
      <c r="A22" s="92"/>
      <c r="B22" s="94">
        <f>B21+((24)*(B10-0.008)*(B7))</f>
        <v>144942.20000000001</v>
      </c>
      <c r="C22" s="96">
        <v>8.0000000000000002E-3</v>
      </c>
      <c r="D22" s="92" t="s">
        <v>44</v>
      </c>
      <c r="E22" s="94">
        <v>146238.35999999999</v>
      </c>
      <c r="F22" s="96" t="str">
        <f>D22</f>
        <v>PT</v>
      </c>
      <c r="I22" s="8"/>
      <c r="J22" s="1"/>
      <c r="K22" s="1"/>
      <c r="L22" s="1"/>
      <c r="M22" s="1"/>
      <c r="N22" s="1"/>
      <c r="O22" s="1"/>
      <c r="P22" s="1"/>
      <c r="Q22" s="42"/>
      <c r="Y22" s="35"/>
      <c r="Z22" s="8"/>
      <c r="AA22" s="8"/>
    </row>
    <row r="23" spans="1:27" x14ac:dyDescent="0.3">
      <c r="A23" s="92"/>
      <c r="B23" s="94"/>
      <c r="C23" s="96"/>
      <c r="D23" s="92"/>
      <c r="E23" s="94"/>
      <c r="F23" s="96"/>
      <c r="I23" s="8"/>
      <c r="J23" s="1"/>
      <c r="K23" s="1"/>
      <c r="L23" s="1"/>
      <c r="M23" s="1"/>
      <c r="N23" s="1"/>
      <c r="O23" s="1"/>
      <c r="P23" s="1"/>
      <c r="Q23" s="42"/>
      <c r="Y23" s="35"/>
      <c r="Z23" s="8"/>
      <c r="AA23" s="8"/>
    </row>
    <row r="24" spans="1:27" x14ac:dyDescent="0.3">
      <c r="A24" s="92"/>
      <c r="B24" s="94"/>
      <c r="C24" s="96"/>
      <c r="D24" s="92"/>
      <c r="E24" s="94"/>
      <c r="F24" s="96"/>
      <c r="I24" s="8"/>
      <c r="J24" s="1"/>
      <c r="K24" s="1"/>
      <c r="L24" s="1"/>
      <c r="M24" s="1"/>
      <c r="N24" s="1"/>
      <c r="O24" s="1"/>
      <c r="P24" s="1"/>
      <c r="Q24" s="42"/>
      <c r="Y24" s="35"/>
      <c r="Z24" s="8"/>
      <c r="AA24" s="8"/>
    </row>
    <row r="25" spans="1:27" x14ac:dyDescent="0.3">
      <c r="A25" s="92" t="s">
        <v>43</v>
      </c>
      <c r="B25" s="94">
        <f>B3</f>
        <v>144970.20000000001</v>
      </c>
      <c r="C25" s="84" t="str">
        <f>A25</f>
        <v>PC</v>
      </c>
      <c r="D25" s="92"/>
      <c r="E25" s="94">
        <f>E21+((B10-0.008)*(24)*(B7))</f>
        <v>146266.35999999999</v>
      </c>
      <c r="F25" s="84">
        <v>0.8</v>
      </c>
      <c r="G25" s="100"/>
      <c r="H25" s="100"/>
      <c r="I25" s="8"/>
      <c r="J25" s="1"/>
      <c r="K25" s="1"/>
      <c r="L25" s="1"/>
      <c r="M25" s="1"/>
      <c r="N25" s="1"/>
      <c r="O25" s="1"/>
      <c r="P25" s="1"/>
      <c r="Q25" s="42"/>
      <c r="Y25" s="35"/>
      <c r="Z25" s="8"/>
      <c r="AA25" s="8"/>
    </row>
    <row r="26" spans="1:27" x14ac:dyDescent="0.3">
      <c r="A26" s="92"/>
      <c r="B26" s="94">
        <f>B21+B14</f>
        <v>144990.20000000001</v>
      </c>
      <c r="C26" s="96">
        <v>1.6E-2</v>
      </c>
      <c r="D26" s="92"/>
      <c r="E26" s="94">
        <f>E22+B17</f>
        <v>146314.35999999999</v>
      </c>
      <c r="F26" s="97" t="s">
        <v>99</v>
      </c>
      <c r="G26" s="100">
        <f>E26-E25</f>
        <v>48</v>
      </c>
      <c r="H26" s="100" t="s">
        <v>100</v>
      </c>
      <c r="I26" s="8"/>
      <c r="J26" s="1"/>
      <c r="K26" s="1"/>
      <c r="L26" s="1"/>
      <c r="M26" s="1"/>
      <c r="N26" s="1"/>
      <c r="O26" s="1"/>
      <c r="P26" s="1"/>
      <c r="Q26" s="42"/>
      <c r="Y26" s="35"/>
      <c r="Z26" s="8"/>
      <c r="AA26" s="8"/>
    </row>
    <row r="27" spans="1:27" ht="15" thickBot="1" x14ac:dyDescent="0.35">
      <c r="A27" s="101" t="s">
        <v>90</v>
      </c>
      <c r="B27" s="102">
        <f>B25+B18</f>
        <v>145008.20000000001</v>
      </c>
      <c r="C27" s="103" t="s">
        <v>97</v>
      </c>
      <c r="D27" s="101" t="s">
        <v>88</v>
      </c>
      <c r="E27" s="102">
        <f>E26+B14</f>
        <v>146410.35999999999</v>
      </c>
      <c r="F27" s="103" t="s">
        <v>84</v>
      </c>
      <c r="G27" s="100">
        <f>E27-E20</f>
        <v>210</v>
      </c>
      <c r="H27" s="8" t="s">
        <v>100</v>
      </c>
      <c r="I27" s="8"/>
      <c r="J27" s="1"/>
      <c r="K27" s="1"/>
      <c r="L27" s="1"/>
      <c r="M27" s="1"/>
      <c r="N27" s="1"/>
      <c r="O27" s="1"/>
      <c r="P27" s="1"/>
      <c r="Q27" s="42"/>
      <c r="Y27" s="35"/>
      <c r="Z27" s="8"/>
      <c r="AA27" s="8"/>
    </row>
    <row r="28" spans="1:27" ht="15" thickBot="1" x14ac:dyDescent="0.35">
      <c r="A28" s="172" t="s">
        <v>92</v>
      </c>
      <c r="B28" s="173"/>
      <c r="C28" s="174"/>
      <c r="D28" s="172" t="s">
        <v>94</v>
      </c>
      <c r="E28" s="173"/>
      <c r="F28" s="174"/>
      <c r="I28" s="8"/>
      <c r="J28" s="1"/>
      <c r="K28" s="1"/>
      <c r="L28" s="1"/>
      <c r="M28" s="1"/>
      <c r="N28" s="1"/>
      <c r="O28" s="1"/>
      <c r="P28" s="1"/>
      <c r="Q28" s="42"/>
      <c r="Y28" s="35"/>
      <c r="Z28" s="8"/>
      <c r="AA28" s="8"/>
    </row>
    <row r="29" spans="1:27" x14ac:dyDescent="0.3">
      <c r="A29" s="104" t="s">
        <v>50</v>
      </c>
      <c r="B29" s="89">
        <f>(12)*(B10)*(B7)</f>
        <v>48</v>
      </c>
      <c r="C29" s="89" t="s">
        <v>85</v>
      </c>
      <c r="D29" s="175"/>
      <c r="E29" s="176"/>
      <c r="F29" s="177"/>
      <c r="I29" s="8"/>
      <c r="J29" s="1"/>
      <c r="K29" s="1"/>
      <c r="L29" s="1"/>
      <c r="M29" s="1"/>
      <c r="N29" s="1"/>
      <c r="O29" s="1"/>
      <c r="P29" s="1"/>
      <c r="Q29" s="42"/>
      <c r="Y29" s="35"/>
      <c r="Z29" s="8"/>
      <c r="AA29" s="8"/>
    </row>
    <row r="30" spans="1:27" x14ac:dyDescent="0.3">
      <c r="A30" s="92" t="s">
        <v>53</v>
      </c>
      <c r="B30" s="84" t="s">
        <v>54</v>
      </c>
      <c r="C30" s="84" t="s">
        <v>58</v>
      </c>
      <c r="D30" s="178"/>
      <c r="E30" s="179"/>
      <c r="F30" s="180"/>
      <c r="I30" s="8"/>
      <c r="J30" s="1"/>
      <c r="K30" s="1"/>
      <c r="L30" s="1"/>
      <c r="M30" s="1"/>
      <c r="N30" s="1"/>
      <c r="O30" s="1"/>
      <c r="P30" s="1"/>
      <c r="Q30" s="42"/>
      <c r="Y30" s="35"/>
      <c r="Z30" s="8"/>
      <c r="AA30" s="8"/>
    </row>
    <row r="31" spans="1:27" x14ac:dyDescent="0.3">
      <c r="A31" s="92" t="s">
        <v>55</v>
      </c>
      <c r="B31" s="84">
        <f>(12)*(B10)*(B7)</f>
        <v>48</v>
      </c>
      <c r="C31" s="84"/>
      <c r="D31" s="178"/>
      <c r="E31" s="179"/>
      <c r="F31" s="180"/>
      <c r="I31" s="8"/>
      <c r="J31" s="1"/>
      <c r="K31" s="1"/>
      <c r="L31" s="1"/>
      <c r="M31" s="1"/>
      <c r="N31" s="1"/>
      <c r="O31" s="1"/>
      <c r="P31" s="1"/>
      <c r="Q31" s="42"/>
      <c r="Y31" s="35"/>
      <c r="Z31" s="8"/>
      <c r="AA31" s="8"/>
    </row>
    <row r="32" spans="1:27" x14ac:dyDescent="0.3">
      <c r="A32" s="92" t="s">
        <v>56</v>
      </c>
      <c r="B32" s="84">
        <f>(36)*(B9-B10)*(B7)</f>
        <v>17.999999999999986</v>
      </c>
      <c r="C32" s="84" t="s">
        <v>60</v>
      </c>
      <c r="D32" s="178"/>
      <c r="E32" s="179"/>
      <c r="F32" s="180"/>
      <c r="I32" s="8"/>
      <c r="J32" s="1"/>
      <c r="K32" s="1"/>
      <c r="L32" s="1"/>
      <c r="M32" s="1"/>
      <c r="N32" s="1"/>
      <c r="O32" s="1"/>
      <c r="P32" s="1"/>
      <c r="Q32" s="42"/>
      <c r="Y32" s="35"/>
      <c r="Z32" s="8"/>
      <c r="AA32" s="8"/>
    </row>
    <row r="33" spans="1:27" x14ac:dyDescent="0.3">
      <c r="A33" s="92" t="s">
        <v>53</v>
      </c>
      <c r="B33" s="84">
        <f>B31+B32</f>
        <v>65.999999999999986</v>
      </c>
      <c r="C33" s="84"/>
      <c r="D33" s="178"/>
      <c r="E33" s="179"/>
      <c r="F33" s="180"/>
      <c r="I33" s="8"/>
      <c r="J33" s="1"/>
      <c r="K33" s="1"/>
      <c r="L33" s="1"/>
      <c r="M33" s="1"/>
      <c r="N33" s="1"/>
      <c r="O33" s="1"/>
      <c r="P33" s="1"/>
      <c r="Q33" s="42"/>
      <c r="Y33" s="35"/>
      <c r="Z33" s="8"/>
      <c r="AA33" s="8"/>
    </row>
    <row r="34" spans="1:27" ht="15" thickBot="1" x14ac:dyDescent="0.35">
      <c r="A34" s="106"/>
      <c r="B34" s="107"/>
      <c r="C34" s="107"/>
      <c r="D34" s="178"/>
      <c r="E34" s="179"/>
      <c r="F34" s="180"/>
      <c r="I34" s="8"/>
      <c r="J34" s="1"/>
      <c r="K34" s="1"/>
      <c r="L34" s="1"/>
      <c r="M34" s="1"/>
      <c r="N34" s="1"/>
      <c r="O34" s="1"/>
      <c r="P34" s="1"/>
      <c r="Q34" s="42"/>
      <c r="Y34" s="35"/>
      <c r="Z34" s="8"/>
      <c r="AA34" s="8"/>
    </row>
    <row r="35" spans="1:27" x14ac:dyDescent="0.3">
      <c r="A35" s="104" t="s">
        <v>88</v>
      </c>
      <c r="B35" s="108">
        <f>B36-B29</f>
        <v>144894.20000000001</v>
      </c>
      <c r="C35" s="89" t="s">
        <v>89</v>
      </c>
      <c r="D35" s="86" t="s">
        <v>90</v>
      </c>
      <c r="E35" s="108">
        <v>131665.99</v>
      </c>
      <c r="F35" s="89" t="s">
        <v>98</v>
      </c>
      <c r="I35" s="8"/>
      <c r="J35" s="1"/>
      <c r="K35" s="1"/>
      <c r="L35" s="1"/>
      <c r="M35" s="1"/>
      <c r="N35" s="1"/>
      <c r="O35" s="1"/>
      <c r="P35" s="1"/>
      <c r="Q35" s="42"/>
      <c r="Y35" s="35"/>
      <c r="Z35" s="8"/>
      <c r="AA35" s="8"/>
    </row>
    <row r="36" spans="1:27" x14ac:dyDescent="0.3">
      <c r="A36" s="92" t="s">
        <v>87</v>
      </c>
      <c r="B36" s="94">
        <f>B22</f>
        <v>144942.20000000001</v>
      </c>
      <c r="C36" s="84" t="s">
        <v>91</v>
      </c>
      <c r="D36" s="87"/>
      <c r="E36" s="94">
        <f>E35+((B9-0.04)*(36)*(B7))</f>
        <v>131467.99</v>
      </c>
      <c r="F36" s="97">
        <v>0.04</v>
      </c>
      <c r="I36" s="8"/>
      <c r="J36" s="1"/>
      <c r="K36" s="1"/>
      <c r="L36" s="1"/>
      <c r="M36" s="1"/>
      <c r="N36" s="1"/>
      <c r="O36" s="1"/>
      <c r="P36" s="1"/>
      <c r="Q36" s="42"/>
      <c r="Y36" s="35"/>
      <c r="Z36" s="8"/>
      <c r="AA36" s="8"/>
    </row>
    <row r="37" spans="1:27" x14ac:dyDescent="0.3">
      <c r="A37" s="92"/>
      <c r="B37" s="94">
        <f>B36+B31</f>
        <v>144990.20000000001</v>
      </c>
      <c r="C37" s="96">
        <v>1.6E-2</v>
      </c>
      <c r="D37" s="87"/>
      <c r="E37" s="94">
        <f>E35+((B9-0.03)*(36)*(B7))</f>
        <v>131557.99</v>
      </c>
      <c r="F37" s="96">
        <v>0.03</v>
      </c>
      <c r="I37" s="8"/>
      <c r="J37" s="1"/>
      <c r="K37" s="1"/>
      <c r="L37" s="1"/>
      <c r="M37" s="1"/>
      <c r="N37" s="1"/>
      <c r="O37" s="1"/>
      <c r="P37" s="1"/>
      <c r="Q37" s="42"/>
      <c r="Y37" s="35"/>
      <c r="Z37" s="8"/>
      <c r="AA37" s="8"/>
    </row>
    <row r="38" spans="1:27" x14ac:dyDescent="0.3">
      <c r="A38" s="92"/>
      <c r="B38" s="94">
        <f>B37+((0.03-B10)*(36)*(B7))</f>
        <v>145116.20000000001</v>
      </c>
      <c r="C38" s="96">
        <v>0.03</v>
      </c>
      <c r="D38" s="87"/>
      <c r="E38" s="94">
        <f>E35+((B9-B10)*(36)*(B7))</f>
        <v>131683.99</v>
      </c>
      <c r="F38" s="96">
        <v>1.6E-2</v>
      </c>
      <c r="I38" s="8"/>
      <c r="J38" s="1"/>
      <c r="K38" s="1"/>
      <c r="L38" s="1"/>
      <c r="M38" s="1"/>
      <c r="N38" s="1"/>
      <c r="O38" s="1"/>
      <c r="P38" s="1"/>
      <c r="Q38" s="42"/>
      <c r="Y38" s="35"/>
      <c r="Z38" s="8"/>
      <c r="AA38" s="8"/>
    </row>
    <row r="39" spans="1:27" x14ac:dyDescent="0.3">
      <c r="A39" s="92"/>
      <c r="B39" s="94">
        <f>B37+((0.04-B10)*(36)*(B7))</f>
        <v>145206.20000000001</v>
      </c>
      <c r="C39" s="96">
        <v>0.04</v>
      </c>
      <c r="D39" s="87"/>
      <c r="E39" s="94">
        <f>E38+((B10)*(12)*(B7))</f>
        <v>131731.99</v>
      </c>
      <c r="F39" s="96" t="s">
        <v>99</v>
      </c>
      <c r="I39" s="8"/>
      <c r="J39" s="1"/>
      <c r="K39" s="1"/>
      <c r="L39" s="1"/>
      <c r="M39" s="1"/>
      <c r="N39" s="1"/>
      <c r="O39" s="1"/>
      <c r="P39" s="1"/>
      <c r="Q39" s="42"/>
      <c r="Y39" s="35"/>
      <c r="Z39" s="8"/>
      <c r="AA39" s="8"/>
    </row>
    <row r="40" spans="1:27" ht="15" thickBot="1" x14ac:dyDescent="0.35">
      <c r="A40" s="93" t="s">
        <v>90</v>
      </c>
      <c r="B40" s="95">
        <f>B36+B33</f>
        <v>145008.20000000001</v>
      </c>
      <c r="C40" s="105">
        <v>4.5999999999999999E-2</v>
      </c>
      <c r="D40" s="88"/>
      <c r="E40" s="95">
        <f>E38+((B10+B10)*(12)*(B7))</f>
        <v>131779.99</v>
      </c>
      <c r="F40" s="85" t="s">
        <v>84</v>
      </c>
      <c r="I40" s="8"/>
      <c r="J40" s="1"/>
      <c r="K40" s="1"/>
      <c r="L40" s="1"/>
      <c r="M40" s="1"/>
      <c r="N40" s="1"/>
      <c r="O40" s="1"/>
      <c r="P40" s="1"/>
      <c r="Q40" s="42"/>
      <c r="Y40" s="35"/>
      <c r="Z40" s="8"/>
      <c r="AA40" s="8"/>
    </row>
    <row r="41" spans="1:27" x14ac:dyDescent="0.3">
      <c r="I41" s="8"/>
      <c r="J41" s="1"/>
      <c r="K41" s="1"/>
      <c r="L41" s="1"/>
      <c r="M41" s="1"/>
      <c r="N41" s="1"/>
      <c r="O41" s="1"/>
      <c r="P41" s="1"/>
      <c r="Q41" s="42"/>
      <c r="Y41" s="35"/>
      <c r="Z41" s="8"/>
      <c r="AA41" s="8"/>
    </row>
    <row r="42" spans="1:27" x14ac:dyDescent="0.3">
      <c r="I42" s="8"/>
      <c r="J42" s="1"/>
      <c r="K42" s="1"/>
      <c r="L42" s="1"/>
      <c r="M42" s="1"/>
      <c r="N42" s="1"/>
      <c r="O42" s="1"/>
      <c r="P42" s="1"/>
      <c r="Q42" s="42"/>
      <c r="Y42" s="35"/>
      <c r="Z42" s="8"/>
      <c r="AA42" s="8"/>
    </row>
    <row r="43" spans="1:27" x14ac:dyDescent="0.3">
      <c r="I43" s="8"/>
      <c r="J43" s="1"/>
      <c r="K43" s="1"/>
      <c r="L43" s="1"/>
      <c r="M43" s="1"/>
      <c r="N43" s="1"/>
      <c r="O43" s="1"/>
      <c r="P43" s="1"/>
      <c r="Q43" s="42"/>
      <c r="Y43" s="35"/>
      <c r="Z43" s="8"/>
      <c r="AA43" s="8"/>
    </row>
    <row r="44" spans="1:27" x14ac:dyDescent="0.3">
      <c r="I44" s="8"/>
      <c r="J44" s="1"/>
      <c r="K44" s="1"/>
      <c r="L44" s="1"/>
      <c r="M44" s="1"/>
      <c r="N44" s="1"/>
      <c r="O44" s="1"/>
      <c r="P44" s="1"/>
      <c r="Q44" s="42"/>
      <c r="Y44" s="35"/>
      <c r="Z44" s="8"/>
      <c r="AA44" s="8"/>
    </row>
    <row r="45" spans="1:27" x14ac:dyDescent="0.3">
      <c r="I45" s="8"/>
      <c r="J45" s="1"/>
      <c r="K45" s="1"/>
      <c r="L45" s="1"/>
      <c r="M45" s="1"/>
      <c r="N45" s="1"/>
      <c r="O45" s="1"/>
      <c r="P45" s="1"/>
      <c r="Q45" s="42"/>
      <c r="Y45" s="35"/>
      <c r="Z45" s="8"/>
      <c r="AA45" s="8"/>
    </row>
    <row r="46" spans="1:27" x14ac:dyDescent="0.3">
      <c r="I46" s="8"/>
      <c r="J46" s="1"/>
      <c r="K46" s="1"/>
      <c r="L46" s="1"/>
      <c r="M46" s="1"/>
      <c r="N46" s="1"/>
      <c r="O46" s="1"/>
      <c r="P46" s="1"/>
      <c r="Q46" s="42"/>
      <c r="Y46" s="35"/>
      <c r="Z46" s="8"/>
      <c r="AA46" s="8"/>
    </row>
    <row r="47" spans="1:27" x14ac:dyDescent="0.3">
      <c r="I47" s="8"/>
      <c r="J47" s="1"/>
      <c r="K47" s="1"/>
      <c r="L47" s="1"/>
      <c r="M47" s="1"/>
      <c r="N47" s="1"/>
      <c r="O47" s="1"/>
      <c r="P47" s="1"/>
      <c r="Q47" s="42"/>
      <c r="Y47" s="35"/>
      <c r="Z47" s="8"/>
      <c r="AA47" s="8"/>
    </row>
    <row r="48" spans="1:27" ht="15" thickBot="1" x14ac:dyDescent="0.35">
      <c r="I48" s="8"/>
      <c r="J48" s="1"/>
      <c r="K48" s="1"/>
      <c r="L48" s="1"/>
      <c r="M48" s="1"/>
      <c r="N48" s="1"/>
      <c r="O48" s="1"/>
      <c r="P48" s="1"/>
      <c r="Q48" s="42"/>
      <c r="Y48" s="35"/>
      <c r="Z48" s="8"/>
      <c r="AA48" s="8"/>
    </row>
    <row r="49" spans="1:27" x14ac:dyDescent="0.3">
      <c r="I49" s="63"/>
      <c r="J49" s="64"/>
      <c r="K49" s="64"/>
      <c r="L49" s="64"/>
      <c r="M49" s="64"/>
      <c r="N49" s="64"/>
      <c r="O49" s="64"/>
      <c r="P49" s="64"/>
      <c r="Q49" s="65"/>
      <c r="R49" s="65"/>
      <c r="S49" s="65"/>
      <c r="T49" s="65"/>
      <c r="U49" s="64"/>
      <c r="V49" s="64"/>
      <c r="W49" s="64"/>
      <c r="X49" s="64"/>
      <c r="Y49" s="66"/>
      <c r="Z49" s="8"/>
      <c r="AA49" s="8"/>
    </row>
    <row r="50" spans="1:27" x14ac:dyDescent="0.3">
      <c r="A50" s="35"/>
      <c r="I50" s="67"/>
      <c r="J50" s="165" t="s">
        <v>72</v>
      </c>
      <c r="K50" s="165"/>
      <c r="L50" s="165"/>
      <c r="M50" s="165"/>
      <c r="N50" s="165"/>
      <c r="O50" s="165"/>
      <c r="P50" s="165"/>
      <c r="Q50" s="49"/>
      <c r="R50" s="164" t="s">
        <v>71</v>
      </c>
      <c r="S50" s="164"/>
      <c r="T50" s="164"/>
      <c r="U50" s="164"/>
      <c r="V50" s="164"/>
      <c r="W50" s="164"/>
      <c r="X50" s="164"/>
      <c r="Y50" s="68"/>
      <c r="Z50" s="8"/>
      <c r="AA50" s="8"/>
    </row>
    <row r="51" spans="1:27" x14ac:dyDescent="0.3">
      <c r="I51" s="67"/>
      <c r="J51" s="48"/>
      <c r="K51" s="48"/>
      <c r="L51" s="48"/>
      <c r="M51" s="48"/>
      <c r="N51" s="48"/>
      <c r="O51" s="48"/>
      <c r="P51" s="48"/>
      <c r="Q51" s="49"/>
      <c r="R51" s="49"/>
      <c r="S51" s="49"/>
      <c r="T51" s="49"/>
      <c r="U51" s="48"/>
      <c r="V51" s="48"/>
      <c r="W51" s="48"/>
      <c r="X51" s="48"/>
      <c r="Y51" s="68"/>
      <c r="Z51" s="8"/>
      <c r="AA51" s="8"/>
    </row>
    <row r="52" spans="1:27" x14ac:dyDescent="0.3">
      <c r="I52" s="67"/>
      <c r="J52" s="48" t="s">
        <v>64</v>
      </c>
      <c r="K52" s="48" t="s">
        <v>69</v>
      </c>
      <c r="L52" s="48" t="s">
        <v>68</v>
      </c>
      <c r="M52" s="48" t="s">
        <v>66</v>
      </c>
      <c r="N52" s="50" t="s">
        <v>70</v>
      </c>
      <c r="O52" s="48" t="s">
        <v>65</v>
      </c>
      <c r="P52" s="49" t="s">
        <v>67</v>
      </c>
      <c r="Q52" s="50" t="s">
        <v>59</v>
      </c>
      <c r="R52" s="49" t="s">
        <v>67</v>
      </c>
      <c r="S52" s="48" t="s">
        <v>65</v>
      </c>
      <c r="T52" s="50" t="s">
        <v>70</v>
      </c>
      <c r="U52" s="48" t="s">
        <v>66</v>
      </c>
      <c r="V52" s="48" t="s">
        <v>68</v>
      </c>
      <c r="W52" s="48" t="s">
        <v>69</v>
      </c>
      <c r="X52" s="48" t="s">
        <v>64</v>
      </c>
      <c r="Y52" s="68"/>
      <c r="Z52" s="8"/>
      <c r="AA52" s="8"/>
    </row>
    <row r="53" spans="1:27" x14ac:dyDescent="0.3">
      <c r="I53" s="70" t="s">
        <v>78</v>
      </c>
      <c r="J53" s="112">
        <v>-0.04</v>
      </c>
      <c r="K53" s="112">
        <v>-1.6E-2</v>
      </c>
      <c r="L53" s="112">
        <v>-1.6E-2</v>
      </c>
      <c r="M53" s="112">
        <v>1.6E-2</v>
      </c>
      <c r="N53" s="51"/>
      <c r="O53" s="118">
        <f>-M53</f>
        <v>-1.6E-2</v>
      </c>
      <c r="P53" s="118">
        <v>-0.04</v>
      </c>
      <c r="Q53" s="53">
        <f>(Q58)-B12</f>
        <v>144798.20000000001</v>
      </c>
      <c r="R53" s="112">
        <v>-0.04</v>
      </c>
      <c r="S53" s="112">
        <v>-1.6E-2</v>
      </c>
      <c r="T53" s="51"/>
      <c r="U53" s="112">
        <v>1.6E-2</v>
      </c>
      <c r="V53" s="112">
        <v>-1.6E-2</v>
      </c>
      <c r="W53" s="112">
        <v>-1.6E-2</v>
      </c>
      <c r="X53" s="112">
        <v>-0.04</v>
      </c>
      <c r="Y53" s="69"/>
      <c r="Z53" s="8"/>
      <c r="AA53" s="8"/>
    </row>
    <row r="54" spans="1:27" x14ac:dyDescent="0.3">
      <c r="I54" s="67"/>
      <c r="J54" s="112">
        <v>-0.04</v>
      </c>
      <c r="K54" s="113">
        <f>$K$53+((Q54-$Q$53)/((24)*($B$7)))</f>
        <v>-1.5700000000001942E-2</v>
      </c>
      <c r="L54" s="113">
        <f>$L$53+((Q54-$Q$53)/((24)*($B$7)))</f>
        <v>-1.5700000000001942E-2</v>
      </c>
      <c r="M54" s="112">
        <v>1.6E-2</v>
      </c>
      <c r="N54" s="51"/>
      <c r="O54" s="118">
        <f>-M54</f>
        <v>-1.6E-2</v>
      </c>
      <c r="P54" s="118">
        <v>-0.04</v>
      </c>
      <c r="Q54" s="55">
        <v>144800</v>
      </c>
      <c r="R54" s="112">
        <v>-0.04</v>
      </c>
      <c r="S54" s="112">
        <v>-1.6E-2</v>
      </c>
      <c r="T54" s="51"/>
      <c r="U54" s="112">
        <v>1.6E-2</v>
      </c>
      <c r="V54" s="115">
        <v>-1.6E-2</v>
      </c>
      <c r="W54" s="115">
        <v>-1.6E-2</v>
      </c>
      <c r="X54" s="112">
        <v>-0.04</v>
      </c>
      <c r="Y54" s="69"/>
      <c r="Z54" s="8"/>
      <c r="AA54" s="8"/>
    </row>
    <row r="55" spans="1:27" x14ac:dyDescent="0.3">
      <c r="I55" s="67"/>
      <c r="J55" s="112">
        <v>-0.04</v>
      </c>
      <c r="K55" s="113">
        <f t="shared" ref="K55:K62" si="0">$K$53+((Q55-$Q$53)/((24)*($B$7)))</f>
        <v>-1.1533333333335274E-2</v>
      </c>
      <c r="L55" s="113">
        <f t="shared" ref="L55:L61" si="1">$L$53+((Q55-$Q$53)/((24)*($B$7)))</f>
        <v>-1.1533333333335274E-2</v>
      </c>
      <c r="M55" s="112">
        <v>1.6E-2</v>
      </c>
      <c r="N55" s="51"/>
      <c r="O55" s="118">
        <f t="shared" ref="O55:O62" si="2">-M55</f>
        <v>-1.6E-2</v>
      </c>
      <c r="P55" s="118">
        <v>-0.04</v>
      </c>
      <c r="Q55" s="55">
        <v>144825</v>
      </c>
      <c r="R55" s="112">
        <v>-0.04</v>
      </c>
      <c r="S55" s="112">
        <v>-1.6E-2</v>
      </c>
      <c r="T55" s="51"/>
      <c r="U55" s="112">
        <v>1.6E-2</v>
      </c>
      <c r="V55" s="115">
        <v>-1.6E-2</v>
      </c>
      <c r="W55" s="115">
        <v>-1.6E-2</v>
      </c>
      <c r="X55" s="112">
        <v>-0.04</v>
      </c>
      <c r="Y55" s="69"/>
      <c r="Z55" s="8"/>
      <c r="AA55" s="8"/>
    </row>
    <row r="56" spans="1:27" x14ac:dyDescent="0.3">
      <c r="I56" s="67"/>
      <c r="J56" s="112">
        <v>-0.04</v>
      </c>
      <c r="K56" s="113">
        <f t="shared" si="0"/>
        <v>-7.3666666666686066E-3</v>
      </c>
      <c r="L56" s="113">
        <f t="shared" si="1"/>
        <v>-7.3666666666686066E-3</v>
      </c>
      <c r="M56" s="112">
        <v>1.6E-2</v>
      </c>
      <c r="N56" s="51"/>
      <c r="O56" s="118">
        <f t="shared" si="2"/>
        <v>-1.6E-2</v>
      </c>
      <c r="P56" s="118">
        <v>-0.04</v>
      </c>
      <c r="Q56" s="55">
        <v>144850</v>
      </c>
      <c r="R56" s="112">
        <v>-0.04</v>
      </c>
      <c r="S56" s="112">
        <v>-1.6E-2</v>
      </c>
      <c r="T56" s="51"/>
      <c r="U56" s="112">
        <v>1.6E-2</v>
      </c>
      <c r="V56" s="115">
        <v>-1.6E-2</v>
      </c>
      <c r="W56" s="115">
        <v>-1.6E-2</v>
      </c>
      <c r="X56" s="112">
        <v>-0.04</v>
      </c>
      <c r="Y56" s="69"/>
      <c r="Z56" s="8"/>
      <c r="AA56" s="8"/>
    </row>
    <row r="57" spans="1:27" x14ac:dyDescent="0.3">
      <c r="I57" s="67"/>
      <c r="J57" s="112">
        <v>-0.04</v>
      </c>
      <c r="K57" s="113">
        <f t="shared" si="0"/>
        <v>-3.2000000000019409E-3</v>
      </c>
      <c r="L57" s="113">
        <f t="shared" si="1"/>
        <v>-3.2000000000019409E-3</v>
      </c>
      <c r="M57" s="112">
        <v>1.6E-2</v>
      </c>
      <c r="N57" s="51"/>
      <c r="O57" s="118">
        <f t="shared" si="2"/>
        <v>-1.6E-2</v>
      </c>
      <c r="P57" s="118">
        <v>-0.04</v>
      </c>
      <c r="Q57" s="55">
        <v>144875</v>
      </c>
      <c r="R57" s="112">
        <v>-0.04</v>
      </c>
      <c r="S57" s="112">
        <v>-1.6E-2</v>
      </c>
      <c r="T57" s="51"/>
      <c r="U57" s="112">
        <v>1.6E-2</v>
      </c>
      <c r="V57" s="115">
        <v>-1.6E-2</v>
      </c>
      <c r="W57" s="115">
        <v>-1.6E-2</v>
      </c>
      <c r="X57" s="112">
        <v>-0.04</v>
      </c>
      <c r="Y57" s="69"/>
      <c r="Z57" s="8"/>
      <c r="AA57" s="8"/>
    </row>
    <row r="58" spans="1:27" x14ac:dyDescent="0.3">
      <c r="I58" s="70" t="s">
        <v>77</v>
      </c>
      <c r="J58" s="112">
        <v>-0.04</v>
      </c>
      <c r="K58" s="113">
        <f t="shared" si="0"/>
        <v>0</v>
      </c>
      <c r="L58" s="113">
        <f t="shared" si="1"/>
        <v>0</v>
      </c>
      <c r="M58" s="112">
        <v>1.6E-2</v>
      </c>
      <c r="N58" s="51"/>
      <c r="O58" s="118">
        <f t="shared" si="2"/>
        <v>-1.6E-2</v>
      </c>
      <c r="P58" s="118">
        <v>-0.04</v>
      </c>
      <c r="Q58" s="53">
        <f>(Q63)-B17</f>
        <v>144894.20000000001</v>
      </c>
      <c r="R58" s="112">
        <v>-0.04</v>
      </c>
      <c r="S58" s="112">
        <v>-1.6E-2</v>
      </c>
      <c r="T58" s="51"/>
      <c r="U58" s="112">
        <v>1.6E-2</v>
      </c>
      <c r="V58" s="115">
        <v>-1.6E-2</v>
      </c>
      <c r="W58" s="115">
        <v>-1.6E-2</v>
      </c>
      <c r="X58" s="112">
        <v>-0.04</v>
      </c>
      <c r="Y58" s="69" t="s">
        <v>63</v>
      </c>
      <c r="Z58" s="8"/>
      <c r="AA58" s="8"/>
    </row>
    <row r="59" spans="1:27" x14ac:dyDescent="0.3">
      <c r="I59" s="67"/>
      <c r="J59" s="112">
        <v>-0.04</v>
      </c>
      <c r="K59" s="113">
        <f t="shared" si="0"/>
        <v>9.6666666666472487E-4</v>
      </c>
      <c r="L59" s="113">
        <f t="shared" si="1"/>
        <v>9.6666666666472487E-4</v>
      </c>
      <c r="M59" s="115">
        <v>1.6E-2</v>
      </c>
      <c r="N59" s="51"/>
      <c r="O59" s="119">
        <f t="shared" si="2"/>
        <v>-1.6E-2</v>
      </c>
      <c r="P59" s="118">
        <v>-0.04</v>
      </c>
      <c r="Q59" s="55">
        <v>144900</v>
      </c>
      <c r="R59" s="112">
        <v>-0.04</v>
      </c>
      <c r="S59" s="113">
        <f>-U59</f>
        <v>-1.4066666666670547E-2</v>
      </c>
      <c r="T59" s="51"/>
      <c r="U59" s="113">
        <f>$U$58-(((Q59-$Q$58)/((12)*($B$7))))</f>
        <v>1.4066666666670547E-2</v>
      </c>
      <c r="V59" s="115">
        <v>-1.6E-2</v>
      </c>
      <c r="W59" s="115">
        <v>-1.6E-2</v>
      </c>
      <c r="X59" s="112">
        <v>-0.04</v>
      </c>
      <c r="Y59" s="69"/>
      <c r="Z59" s="8"/>
      <c r="AA59" s="8"/>
    </row>
    <row r="60" spans="1:27" x14ac:dyDescent="0.3">
      <c r="I60" s="67"/>
      <c r="J60" s="112">
        <v>-0.04</v>
      </c>
      <c r="K60" s="113">
        <f t="shared" si="0"/>
        <v>5.1333333333313941E-3</v>
      </c>
      <c r="L60" s="113">
        <f t="shared" si="1"/>
        <v>5.1333333333313941E-3</v>
      </c>
      <c r="M60" s="115">
        <v>1.6E-2</v>
      </c>
      <c r="N60" s="51"/>
      <c r="O60" s="119">
        <f t="shared" si="2"/>
        <v>-1.6E-2</v>
      </c>
      <c r="P60" s="118">
        <v>-0.04</v>
      </c>
      <c r="Q60" s="55">
        <v>144925</v>
      </c>
      <c r="R60" s="112">
        <v>-0.04</v>
      </c>
      <c r="S60" s="113">
        <f t="shared" ref="S60:S62" si="3">-U60</f>
        <v>-5.7333333333372139E-3</v>
      </c>
      <c r="T60" s="51"/>
      <c r="U60" s="113">
        <f t="shared" ref="U60:U61" si="4">$U$58-(((Q60-$Q$58)/((12)*($B$7))))</f>
        <v>5.7333333333372139E-3</v>
      </c>
      <c r="V60" s="115">
        <v>-1.6E-2</v>
      </c>
      <c r="W60" s="115">
        <v>-1.6E-2</v>
      </c>
      <c r="X60" s="112">
        <v>-0.04</v>
      </c>
      <c r="Y60" s="69"/>
      <c r="Z60" s="8"/>
      <c r="AA60" s="8"/>
    </row>
    <row r="61" spans="1:27" x14ac:dyDescent="0.3">
      <c r="I61" s="70"/>
      <c r="J61" s="112">
        <v>-0.04</v>
      </c>
      <c r="K61" s="113">
        <f t="shared" si="0"/>
        <v>8.0000000000000002E-3</v>
      </c>
      <c r="L61" s="113">
        <f t="shared" si="1"/>
        <v>8.0000000000000002E-3</v>
      </c>
      <c r="M61" s="115">
        <v>1.6E-2</v>
      </c>
      <c r="N61" s="51"/>
      <c r="O61" s="119">
        <f t="shared" si="2"/>
        <v>-1.6E-2</v>
      </c>
      <c r="P61" s="118">
        <v>-0.04</v>
      </c>
      <c r="Q61" s="53">
        <f>Q58+(B12/2)</f>
        <v>144942.20000000001</v>
      </c>
      <c r="R61" s="112">
        <v>-0.04</v>
      </c>
      <c r="S61" s="113">
        <f t="shared" si="3"/>
        <v>0</v>
      </c>
      <c r="T61" s="51"/>
      <c r="U61" s="113">
        <f t="shared" si="4"/>
        <v>0</v>
      </c>
      <c r="V61" s="115">
        <v>-1.6E-2</v>
      </c>
      <c r="W61" s="115">
        <v>-1.6E-2</v>
      </c>
      <c r="X61" s="112">
        <v>-0.04</v>
      </c>
      <c r="Y61" s="69" t="s">
        <v>77</v>
      </c>
      <c r="Z61" s="8"/>
      <c r="AA61" s="8"/>
    </row>
    <row r="62" spans="1:27" x14ac:dyDescent="0.3">
      <c r="I62" s="67"/>
      <c r="J62" s="112">
        <v>-0.04</v>
      </c>
      <c r="K62" s="113">
        <f t="shared" si="0"/>
        <v>9.2999999999980598E-3</v>
      </c>
      <c r="L62" s="113">
        <f>$L$53+((Q62-$Q$53)/((24)*($B$7)))</f>
        <v>9.2999999999980598E-3</v>
      </c>
      <c r="M62" s="115">
        <v>1.6E-2</v>
      </c>
      <c r="N62" s="51"/>
      <c r="O62" s="119">
        <f t="shared" si="2"/>
        <v>-1.6E-2</v>
      </c>
      <c r="P62" s="118">
        <v>-0.04</v>
      </c>
      <c r="Q62" s="55">
        <v>144950</v>
      </c>
      <c r="R62" s="112">
        <v>-0.04</v>
      </c>
      <c r="S62" s="113">
        <f t="shared" si="3"/>
        <v>2.5999999999961193E-3</v>
      </c>
      <c r="T62" s="51"/>
      <c r="U62" s="113">
        <f>$U$58-(((Q62-$Q$58)/((12)*($B$7))))</f>
        <v>-2.5999999999961193E-3</v>
      </c>
      <c r="V62" s="115">
        <v>-1.6E-2</v>
      </c>
      <c r="W62" s="115">
        <v>-1.6E-2</v>
      </c>
      <c r="X62" s="112">
        <v>-0.04</v>
      </c>
      <c r="Y62" s="69"/>
      <c r="Z62" s="8"/>
      <c r="AA62" s="8"/>
    </row>
    <row r="63" spans="1:27" x14ac:dyDescent="0.3">
      <c r="I63" s="71" t="s">
        <v>43</v>
      </c>
      <c r="J63" s="112">
        <v>-0.04</v>
      </c>
      <c r="K63" s="113">
        <f>$K$53+((Q63-$Q$53)/((24)*($B$7)))</f>
        <v>1.2666666666666666E-2</v>
      </c>
      <c r="L63" s="113">
        <f>$L$53+((Q63-$Q$53)/((24)*($B$7)))</f>
        <v>1.2666666666666666E-2</v>
      </c>
      <c r="M63" s="115">
        <v>1.6E-2</v>
      </c>
      <c r="N63" s="51"/>
      <c r="O63" s="119">
        <f>-M63</f>
        <v>-1.6E-2</v>
      </c>
      <c r="P63" s="118">
        <v>-0.04</v>
      </c>
      <c r="Q63" s="53">
        <v>144970.20000000001</v>
      </c>
      <c r="R63" s="113">
        <v>-0.04</v>
      </c>
      <c r="S63" s="113">
        <f t="shared" ref="S63:S67" si="5">-U63</f>
        <v>9.3333333333333324E-3</v>
      </c>
      <c r="T63" s="51"/>
      <c r="U63" s="113">
        <f>$U$58-(((Q63-$Q$58)/((12)*($B$7))))</f>
        <v>-9.3333333333333324E-3</v>
      </c>
      <c r="V63" s="115">
        <v>-1.6E-2</v>
      </c>
      <c r="W63" s="115">
        <v>-1.6E-2</v>
      </c>
      <c r="X63" s="112">
        <v>-0.04</v>
      </c>
      <c r="Y63" s="69" t="s">
        <v>43</v>
      </c>
      <c r="Z63" s="8"/>
      <c r="AA63" s="8"/>
    </row>
    <row r="64" spans="1:27" x14ac:dyDescent="0.3">
      <c r="I64" s="67"/>
      <c r="J64" s="112">
        <v>-0.04</v>
      </c>
      <c r="K64" s="113">
        <f>$K$53+((Q64-$Q$53)/((24)*($B$7)))</f>
        <v>1.3466666666664726E-2</v>
      </c>
      <c r="L64" s="113">
        <f t="shared" ref="L64" si="6">$L$53+((Q64-$Q$53)/((24)*($B$7)))</f>
        <v>1.3466666666664726E-2</v>
      </c>
      <c r="M64" s="115">
        <v>1.6E-2</v>
      </c>
      <c r="N64" s="51"/>
      <c r="O64" s="119">
        <f t="shared" ref="O64:O67" si="7">-M64</f>
        <v>-1.6E-2</v>
      </c>
      <c r="P64" s="118">
        <v>-0.04</v>
      </c>
      <c r="Q64" s="55">
        <v>144975</v>
      </c>
      <c r="R64" s="113">
        <v>-0.04</v>
      </c>
      <c r="S64" s="113">
        <f t="shared" si="5"/>
        <v>1.0933333333329451E-2</v>
      </c>
      <c r="T64" s="51"/>
      <c r="U64" s="113">
        <f>$U$58-(((Q64-$Q$58)/((12)*($B$7))))</f>
        <v>-1.0933333333329451E-2</v>
      </c>
      <c r="V64" s="115">
        <v>-1.6E-2</v>
      </c>
      <c r="W64" s="115">
        <v>-1.6E-2</v>
      </c>
      <c r="X64" s="112">
        <v>-0.04</v>
      </c>
      <c r="Y64" s="69"/>
      <c r="Z64" s="8"/>
      <c r="AA64" s="8"/>
    </row>
    <row r="65" spans="1:27" x14ac:dyDescent="0.3">
      <c r="I65" s="67"/>
      <c r="J65" s="112">
        <v>-0.04</v>
      </c>
      <c r="K65" s="113">
        <f>$K$53+((Q65-$Q$53)/((24)*($B$7)))</f>
        <v>1.6E-2</v>
      </c>
      <c r="L65" s="113">
        <f>$L$53+((Q65-$Q$53)/((24)*($B$7)))</f>
        <v>1.6E-2</v>
      </c>
      <c r="M65" s="115">
        <v>1.6E-2</v>
      </c>
      <c r="N65" s="51"/>
      <c r="O65" s="119">
        <f t="shared" si="7"/>
        <v>-1.6E-2</v>
      </c>
      <c r="P65" s="118">
        <v>-0.04</v>
      </c>
      <c r="Q65" s="53">
        <f>Q61+(B12/2)</f>
        <v>144990.20000000001</v>
      </c>
      <c r="R65" s="113">
        <v>-0.04</v>
      </c>
      <c r="S65" s="113">
        <f t="shared" si="5"/>
        <v>1.6E-2</v>
      </c>
      <c r="T65" s="51"/>
      <c r="U65" s="113">
        <f>$U$58-(((Q65-$Q$58)/((12)*($B$7))))</f>
        <v>-1.6E-2</v>
      </c>
      <c r="V65" s="115">
        <v>-1.6E-2</v>
      </c>
      <c r="W65" s="115">
        <v>-1.6E-2</v>
      </c>
      <c r="X65" s="112">
        <v>-0.04</v>
      </c>
      <c r="Y65" s="69"/>
      <c r="Z65" s="8"/>
      <c r="AA65" s="8"/>
    </row>
    <row r="66" spans="1:27" x14ac:dyDescent="0.3">
      <c r="I66" s="67"/>
      <c r="J66" s="112">
        <v>-0.04</v>
      </c>
      <c r="K66" s="113">
        <f>$K$65+((Q66-$Q$65)/((36)*($B$7)))</f>
        <v>1.7088888888887595E-2</v>
      </c>
      <c r="L66" s="113">
        <f>$L$65+((Q66-$Q$65)/((36)*($B$7)))</f>
        <v>1.7088888888887595E-2</v>
      </c>
      <c r="M66" s="113">
        <f>(($M$65)+((Q66-$Q$65)/((36)*($B$7))))</f>
        <v>1.7088888888887595E-2</v>
      </c>
      <c r="N66" s="51"/>
      <c r="O66" s="120">
        <f>-M66</f>
        <v>-1.7088888888887595E-2</v>
      </c>
      <c r="P66" s="118">
        <v>-0.04</v>
      </c>
      <c r="Q66" s="55">
        <v>145000</v>
      </c>
      <c r="R66" s="113">
        <v>-0.04</v>
      </c>
      <c r="S66" s="113">
        <f t="shared" si="5"/>
        <v>1.7088888888887595E-2</v>
      </c>
      <c r="T66" s="51"/>
      <c r="U66" s="113">
        <f>$U$65-(((Q66-$Q$65)/((36)*($B$7))))</f>
        <v>-1.7088888888887595E-2</v>
      </c>
      <c r="V66" s="113">
        <f>$V$65-((Q66-$Q$65)/((36)*($B$7)))</f>
        <v>-1.7088888888887595E-2</v>
      </c>
      <c r="W66" s="113">
        <f>$W$65-((Q66-$Q$65)/((36)*($B$7)))</f>
        <v>-1.7088888888887595E-2</v>
      </c>
      <c r="X66" s="112">
        <v>-0.04</v>
      </c>
      <c r="Y66" s="69"/>
      <c r="Z66" s="8"/>
      <c r="AA66" s="8"/>
    </row>
    <row r="67" spans="1:27" x14ac:dyDescent="0.3">
      <c r="I67" s="70" t="s">
        <v>79</v>
      </c>
      <c r="J67" s="112">
        <v>-0.04</v>
      </c>
      <c r="K67" s="113">
        <f>$K$65+((Q67-$Q$65)/((36)*($B$7)))</f>
        <v>1.8000000000000002E-2</v>
      </c>
      <c r="L67" s="113">
        <f>$L$65+((Q67-$Q$65)/((36)*($B$7)))</f>
        <v>1.8000000000000002E-2</v>
      </c>
      <c r="M67" s="113">
        <f>(($M$65)+((Q67-$Q$65)/((36)*($B$7))))</f>
        <v>1.8000000000000002E-2</v>
      </c>
      <c r="N67" s="51"/>
      <c r="O67" s="120">
        <f t="shared" si="7"/>
        <v>-1.8000000000000002E-2</v>
      </c>
      <c r="P67" s="118">
        <v>-0.04</v>
      </c>
      <c r="Q67" s="53">
        <f>Q63+(B18)</f>
        <v>145008.20000000001</v>
      </c>
      <c r="R67" s="113">
        <v>-0.04</v>
      </c>
      <c r="S67" s="113">
        <f t="shared" si="5"/>
        <v>1.8000000000000002E-2</v>
      </c>
      <c r="T67" s="51"/>
      <c r="U67" s="113">
        <f>$U$65-(((Q67-$Q$65)/((36)*($B$7))))</f>
        <v>-1.8000000000000002E-2</v>
      </c>
      <c r="V67" s="113">
        <f>$V$65-((Q67-$Q$65)/((36)*($B$7)))</f>
        <v>-1.8000000000000002E-2</v>
      </c>
      <c r="W67" s="113">
        <f>$W$65-((Q67-$Q$65)/((36)*($B$7)))</f>
        <v>-1.8000000000000002E-2</v>
      </c>
      <c r="X67" s="112">
        <v>-0.04</v>
      </c>
      <c r="Y67" s="69" t="s">
        <v>79</v>
      </c>
      <c r="Z67" s="8"/>
      <c r="AA67" s="8"/>
    </row>
    <row r="68" spans="1:27" x14ac:dyDescent="0.3">
      <c r="I68" s="67"/>
      <c r="J68" s="112">
        <v>-0.04</v>
      </c>
      <c r="K68" s="112">
        <f t="shared" ref="K68:M70" si="8">K67</f>
        <v>1.8000000000000002E-2</v>
      </c>
      <c r="L68" s="112">
        <f t="shared" si="8"/>
        <v>1.8000000000000002E-2</v>
      </c>
      <c r="M68" s="112">
        <f t="shared" si="8"/>
        <v>1.8000000000000002E-2</v>
      </c>
      <c r="N68" s="51"/>
      <c r="O68" s="118">
        <f t="shared" ref="O68:O70" si="9">O67</f>
        <v>-1.8000000000000002E-2</v>
      </c>
      <c r="P68" s="118">
        <v>-0.04</v>
      </c>
      <c r="Q68" s="55">
        <v>129500</v>
      </c>
      <c r="R68" s="112">
        <f t="shared" ref="R68:S70" si="10">R67</f>
        <v>-0.04</v>
      </c>
      <c r="S68" s="112">
        <f t="shared" si="10"/>
        <v>1.8000000000000002E-2</v>
      </c>
      <c r="T68" s="51"/>
      <c r="U68" s="112">
        <f t="shared" ref="U68:W70" si="11">U67</f>
        <v>-1.8000000000000002E-2</v>
      </c>
      <c r="V68" s="112">
        <f t="shared" si="11"/>
        <v>-1.8000000000000002E-2</v>
      </c>
      <c r="W68" s="112">
        <f t="shared" si="11"/>
        <v>-1.8000000000000002E-2</v>
      </c>
      <c r="X68" s="112">
        <v>-0.04</v>
      </c>
      <c r="Y68" s="69"/>
      <c r="Z68" s="8"/>
      <c r="AA68" s="8"/>
    </row>
    <row r="69" spans="1:27" x14ac:dyDescent="0.3">
      <c r="I69" s="67"/>
      <c r="J69" s="112">
        <v>-0.04</v>
      </c>
      <c r="K69" s="112">
        <f t="shared" si="8"/>
        <v>1.8000000000000002E-2</v>
      </c>
      <c r="L69" s="112">
        <f t="shared" si="8"/>
        <v>1.8000000000000002E-2</v>
      </c>
      <c r="M69" s="112">
        <f t="shared" si="8"/>
        <v>1.8000000000000002E-2</v>
      </c>
      <c r="N69" s="51"/>
      <c r="O69" s="118">
        <f t="shared" si="9"/>
        <v>-1.8000000000000002E-2</v>
      </c>
      <c r="P69" s="118">
        <v>-0.04</v>
      </c>
      <c r="Q69" s="55">
        <v>129525</v>
      </c>
      <c r="R69" s="112">
        <f t="shared" si="10"/>
        <v>-0.04</v>
      </c>
      <c r="S69" s="112">
        <f t="shared" si="10"/>
        <v>1.8000000000000002E-2</v>
      </c>
      <c r="T69" s="51"/>
      <c r="U69" s="112">
        <f t="shared" si="11"/>
        <v>-1.8000000000000002E-2</v>
      </c>
      <c r="V69" s="112">
        <f t="shared" si="11"/>
        <v>-1.8000000000000002E-2</v>
      </c>
      <c r="W69" s="112">
        <f t="shared" si="11"/>
        <v>-1.8000000000000002E-2</v>
      </c>
      <c r="X69" s="112">
        <v>-0.04</v>
      </c>
      <c r="Y69" s="69"/>
      <c r="Z69" s="8"/>
      <c r="AA69" s="8"/>
    </row>
    <row r="70" spans="1:27" x14ac:dyDescent="0.3">
      <c r="I70" s="67"/>
      <c r="J70" s="112">
        <v>-0.04</v>
      </c>
      <c r="K70" s="112">
        <f t="shared" si="8"/>
        <v>1.8000000000000002E-2</v>
      </c>
      <c r="L70" s="112">
        <f t="shared" si="8"/>
        <v>1.8000000000000002E-2</v>
      </c>
      <c r="M70" s="112">
        <f t="shared" si="8"/>
        <v>1.8000000000000002E-2</v>
      </c>
      <c r="N70" s="51"/>
      <c r="O70" s="118">
        <f t="shared" si="9"/>
        <v>-1.8000000000000002E-2</v>
      </c>
      <c r="P70" s="118">
        <v>-0.04</v>
      </c>
      <c r="Q70" s="55">
        <v>129550</v>
      </c>
      <c r="R70" s="112">
        <f t="shared" si="10"/>
        <v>-0.04</v>
      </c>
      <c r="S70" s="112">
        <f t="shared" si="10"/>
        <v>1.8000000000000002E-2</v>
      </c>
      <c r="T70" s="51"/>
      <c r="U70" s="112">
        <f t="shared" si="11"/>
        <v>-1.8000000000000002E-2</v>
      </c>
      <c r="V70" s="112">
        <f t="shared" si="11"/>
        <v>-1.8000000000000002E-2</v>
      </c>
      <c r="W70" s="112">
        <f t="shared" si="11"/>
        <v>-1.8000000000000002E-2</v>
      </c>
      <c r="X70" s="112">
        <v>-0.04</v>
      </c>
      <c r="Y70" s="69"/>
      <c r="Z70" s="8"/>
      <c r="AA70" s="8"/>
    </row>
    <row r="71" spans="1:27" x14ac:dyDescent="0.3">
      <c r="I71" s="67"/>
      <c r="J71" s="166" t="s">
        <v>76</v>
      </c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69"/>
      <c r="Z71" s="8"/>
      <c r="AA71" s="8"/>
    </row>
    <row r="72" spans="1:27" x14ac:dyDescent="0.3">
      <c r="I72" s="67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69"/>
      <c r="Z72" s="8"/>
      <c r="AA72" s="8"/>
    </row>
    <row r="73" spans="1:27" ht="52.2" customHeight="1" x14ac:dyDescent="0.3">
      <c r="I73" s="67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69"/>
      <c r="Z73" s="8"/>
      <c r="AA73" s="8"/>
    </row>
    <row r="74" spans="1:27" ht="14.4" customHeight="1" x14ac:dyDescent="0.3">
      <c r="I74" s="67"/>
      <c r="J74" s="112">
        <v>-0.04</v>
      </c>
      <c r="K74" s="112">
        <v>1.7999999999999999E-2</v>
      </c>
      <c r="L74" s="112">
        <v>1.7999999999999999E-2</v>
      </c>
      <c r="M74" s="112">
        <v>1.7999999999999999E-2</v>
      </c>
      <c r="N74" s="51"/>
      <c r="O74" s="112">
        <f>-M74</f>
        <v>-1.7999999999999999E-2</v>
      </c>
      <c r="P74" s="112">
        <v>-0.04</v>
      </c>
      <c r="Q74" s="50">
        <v>146150</v>
      </c>
      <c r="R74" s="112">
        <v>-4.0000000000000001E-3</v>
      </c>
      <c r="S74" s="112">
        <f>S67</f>
        <v>1.8000000000000002E-2</v>
      </c>
      <c r="T74" s="51"/>
      <c r="U74" s="112">
        <v>-1.7999999999999999E-2</v>
      </c>
      <c r="V74" s="112">
        <v>-1.7999999999999999E-2</v>
      </c>
      <c r="W74" s="112">
        <f t="shared" ref="W74" si="12">W67</f>
        <v>-1.8000000000000002E-2</v>
      </c>
      <c r="X74" s="112">
        <v>-0.04</v>
      </c>
      <c r="Y74" s="69"/>
      <c r="Z74" s="8"/>
      <c r="AA74" s="8"/>
    </row>
    <row r="75" spans="1:27" s="45" customFormat="1" ht="14.4" customHeight="1" x14ac:dyDescent="0.3">
      <c r="A75" s="35"/>
      <c r="B75" s="35"/>
      <c r="C75" s="35"/>
      <c r="D75" s="35"/>
      <c r="E75" s="35"/>
      <c r="F75" s="35"/>
      <c r="G75" s="35"/>
      <c r="H75" s="35"/>
      <c r="I75" s="70"/>
      <c r="J75" s="112">
        <v>-0.04</v>
      </c>
      <c r="K75" s="112">
        <v>1.7999999999999999E-2</v>
      </c>
      <c r="L75" s="112">
        <v>1.7999999999999999E-2</v>
      </c>
      <c r="M75" s="112">
        <v>1.7999999999999999E-2</v>
      </c>
      <c r="N75" s="51"/>
      <c r="O75" s="112">
        <f>-M75</f>
        <v>-1.7999999999999999E-2</v>
      </c>
      <c r="P75" s="112">
        <v>-0.04</v>
      </c>
      <c r="Q75" s="50">
        <v>146175</v>
      </c>
      <c r="R75" s="112">
        <v>-4.0000000000000001E-3</v>
      </c>
      <c r="S75" s="112">
        <f t="shared" ref="S75:S76" si="13">S68</f>
        <v>1.8000000000000002E-2</v>
      </c>
      <c r="T75" s="51"/>
      <c r="U75" s="112">
        <v>-1.7999999999999999E-2</v>
      </c>
      <c r="V75" s="112">
        <v>-1.7999999999999999E-2</v>
      </c>
      <c r="W75" s="112">
        <f t="shared" ref="W75" si="14">W68</f>
        <v>-1.8000000000000002E-2</v>
      </c>
      <c r="X75" s="112">
        <v>-0.04</v>
      </c>
      <c r="Y75" s="69"/>
      <c r="Z75" s="35"/>
      <c r="AA75" s="35"/>
    </row>
    <row r="76" spans="1:27" s="45" customFormat="1" x14ac:dyDescent="0.3">
      <c r="A76" s="35"/>
      <c r="B76" s="35"/>
      <c r="C76" s="35"/>
      <c r="D76" s="35"/>
      <c r="E76" s="35"/>
      <c r="F76" s="35"/>
      <c r="G76" s="35"/>
      <c r="H76" s="35"/>
      <c r="I76" s="70"/>
      <c r="J76" s="112">
        <v>-0.04</v>
      </c>
      <c r="K76" s="112">
        <v>1.7999999999999999E-2</v>
      </c>
      <c r="L76" s="112">
        <v>1.7999999999999999E-2</v>
      </c>
      <c r="M76" s="112">
        <v>1.7999999999999999E-2</v>
      </c>
      <c r="N76" s="51"/>
      <c r="O76" s="112">
        <f t="shared" ref="O76:O77" si="15">-M76</f>
        <v>-1.7999999999999999E-2</v>
      </c>
      <c r="P76" s="112">
        <v>-0.04</v>
      </c>
      <c r="Q76" s="55">
        <v>146200</v>
      </c>
      <c r="R76" s="112">
        <v>-4.0000000000000001E-3</v>
      </c>
      <c r="S76" s="112">
        <f t="shared" si="13"/>
        <v>1.8000000000000002E-2</v>
      </c>
      <c r="T76" s="51"/>
      <c r="U76" s="112">
        <v>-1.7999999999999999E-2</v>
      </c>
      <c r="V76" s="112">
        <v>-1.7999999999999999E-2</v>
      </c>
      <c r="W76" s="112">
        <f t="shared" ref="W76" si="16">W69</f>
        <v>-1.8000000000000002E-2</v>
      </c>
      <c r="X76" s="112">
        <v>-0.04</v>
      </c>
      <c r="Y76" s="69"/>
      <c r="Z76" s="35"/>
      <c r="AA76" s="35"/>
    </row>
    <row r="77" spans="1:27" x14ac:dyDescent="0.3">
      <c r="I77" s="70" t="s">
        <v>80</v>
      </c>
      <c r="J77" s="112">
        <v>-0.04</v>
      </c>
      <c r="K77" s="112">
        <v>1.7999999999999999E-2</v>
      </c>
      <c r="L77" s="112">
        <v>1.7999999999999999E-2</v>
      </c>
      <c r="M77" s="112">
        <v>1.7999999999999999E-2</v>
      </c>
      <c r="N77" s="51"/>
      <c r="O77" s="112">
        <f t="shared" si="15"/>
        <v>-1.7999999999999999E-2</v>
      </c>
      <c r="P77" s="112">
        <v>-0.04</v>
      </c>
      <c r="Q77" s="53">
        <f>Q80-B18</f>
        <v>146200.35999999999</v>
      </c>
      <c r="R77" s="112">
        <v>-4.0000000000000001E-3</v>
      </c>
      <c r="S77" s="112">
        <f>S70</f>
        <v>1.8000000000000002E-2</v>
      </c>
      <c r="T77" s="51"/>
      <c r="U77" s="112">
        <v>-1.7999999999999999E-2</v>
      </c>
      <c r="V77" s="112">
        <v>-1.7999999999999999E-2</v>
      </c>
      <c r="W77" s="112">
        <f t="shared" ref="W77" si="17">W70</f>
        <v>-1.8000000000000002E-2</v>
      </c>
      <c r="X77" s="112">
        <v>-0.04</v>
      </c>
      <c r="Y77" s="68" t="s">
        <v>80</v>
      </c>
      <c r="Z77" s="8"/>
      <c r="AA77" s="8"/>
    </row>
    <row r="78" spans="1:27" x14ac:dyDescent="0.3">
      <c r="I78" s="70"/>
      <c r="J78" s="112">
        <v>-0.04</v>
      </c>
      <c r="K78" s="113">
        <f>$K$77-((Q78-$Q$77)/((36)*($B$7)))</f>
        <v>1.6E-2</v>
      </c>
      <c r="L78" s="113">
        <f>$L$77-((Q78-$Q$77)/((36)*($B$7)))</f>
        <v>1.6E-2</v>
      </c>
      <c r="M78" s="113">
        <f>$M$77-((Q78-Q$77)/((36)*($B$7)))</f>
        <v>1.6E-2</v>
      </c>
      <c r="N78" s="51"/>
      <c r="O78" s="113">
        <f t="shared" ref="O78:O84" si="18">-M78</f>
        <v>-1.6E-2</v>
      </c>
      <c r="P78" s="112">
        <v>-0.04</v>
      </c>
      <c r="Q78" s="53">
        <f>Q77+18</f>
        <v>146218.35999999999</v>
      </c>
      <c r="R78" s="112">
        <v>-4.0000000000000001E-3</v>
      </c>
      <c r="S78" s="113">
        <f t="shared" ref="S78:S84" si="19">-U78</f>
        <v>1.6E-2</v>
      </c>
      <c r="T78" s="51"/>
      <c r="U78" s="113">
        <f>$U$77+((Q78-$Q$77)/(($B$7)*(36)))</f>
        <v>-1.6E-2</v>
      </c>
      <c r="V78" s="113">
        <f>$V$77+((Q78-$Q$77)/(($B$7)*(36)))</f>
        <v>-1.6E-2</v>
      </c>
      <c r="W78" s="113">
        <f>$W$77+((Q78-$Q$77)/(($B$7)*(36)))</f>
        <v>-1.6E-2</v>
      </c>
      <c r="X78" s="112">
        <v>-0.04</v>
      </c>
      <c r="Y78" s="68"/>
      <c r="Z78" s="8"/>
      <c r="AA78" s="8"/>
    </row>
    <row r="79" spans="1:27" x14ac:dyDescent="0.3">
      <c r="I79" s="70"/>
      <c r="J79" s="112">
        <v>-0.04</v>
      </c>
      <c r="K79" s="113">
        <f>$K$78-((Q79-$Q$78)/((24)*($B$7)))</f>
        <v>1.4893333333331005E-2</v>
      </c>
      <c r="L79" s="113">
        <f>$L$78-((Q79-$Q$78)/((24)*($B$7)))</f>
        <v>1.4893333333331005E-2</v>
      </c>
      <c r="M79" s="113">
        <f>$M$78-((Q79-Q$78)/((24)*($B$7)))</f>
        <v>1.4893333333331005E-2</v>
      </c>
      <c r="N79" s="51"/>
      <c r="O79" s="113">
        <f t="shared" si="18"/>
        <v>-1.4893333333331005E-2</v>
      </c>
      <c r="P79" s="112">
        <v>-0.04</v>
      </c>
      <c r="Q79" s="55">
        <v>146225</v>
      </c>
      <c r="R79" s="112">
        <v>-4.0000000000000001E-3</v>
      </c>
      <c r="S79" s="113">
        <f t="shared" si="19"/>
        <v>1.378666666666201E-2</v>
      </c>
      <c r="T79" s="51"/>
      <c r="U79" s="113">
        <f>$U$78+((Q79-$Q$78)/(($B$7)*(12)))</f>
        <v>-1.378666666666201E-2</v>
      </c>
      <c r="V79" s="115">
        <v>-1.6E-2</v>
      </c>
      <c r="W79" s="115">
        <v>-1.6E-2</v>
      </c>
      <c r="X79" s="112">
        <v>-0.04</v>
      </c>
      <c r="Y79" s="68"/>
      <c r="Z79" s="8"/>
      <c r="AA79" s="8"/>
    </row>
    <row r="80" spans="1:27" s="47" customFormat="1" x14ac:dyDescent="0.3">
      <c r="A80" s="46"/>
      <c r="B80" s="46"/>
      <c r="C80" s="46"/>
      <c r="D80" s="46"/>
      <c r="E80" s="46"/>
      <c r="F80" s="46"/>
      <c r="G80" s="46"/>
      <c r="H80" s="46"/>
      <c r="I80" s="71" t="s">
        <v>44</v>
      </c>
      <c r="J80" s="112">
        <v>-0.04</v>
      </c>
      <c r="K80" s="113">
        <f t="shared" ref="K80:K81" si="20">$K$78-((Q80-$Q$78)/((24)*($B$7)))</f>
        <v>1.2666666666666666E-2</v>
      </c>
      <c r="L80" s="113">
        <f t="shared" ref="L80:L81" si="21">$L$78-((Q80-$Q$78)/((24)*($B$7)))</f>
        <v>1.2666666666666666E-2</v>
      </c>
      <c r="M80" s="113">
        <f t="shared" ref="M80:M81" si="22">$M$78-((Q80-Q$78)/((24)*($B$7)))</f>
        <v>1.2666666666666666E-2</v>
      </c>
      <c r="N80" s="60"/>
      <c r="O80" s="113">
        <f t="shared" si="18"/>
        <v>-1.2666666666666666E-2</v>
      </c>
      <c r="P80" s="112">
        <v>-0.04</v>
      </c>
      <c r="Q80" s="61">
        <v>146238.35999999999</v>
      </c>
      <c r="R80" s="112">
        <v>-4.0000000000000001E-3</v>
      </c>
      <c r="S80" s="113">
        <f t="shared" si="19"/>
        <v>9.3333333333333324E-3</v>
      </c>
      <c r="T80" s="60"/>
      <c r="U80" s="113">
        <f>$U$78+((Q80-$Q$78)/(($B$7)*(12)))</f>
        <v>-9.3333333333333324E-3</v>
      </c>
      <c r="V80" s="115">
        <v>-1.6E-2</v>
      </c>
      <c r="W80" s="115">
        <v>-1.6E-2</v>
      </c>
      <c r="X80" s="112">
        <v>-0.04</v>
      </c>
      <c r="Y80" s="72" t="s">
        <v>44</v>
      </c>
      <c r="Z80" s="46"/>
      <c r="AA80" s="46"/>
    </row>
    <row r="81" spans="9:27" x14ac:dyDescent="0.3">
      <c r="I81" s="67"/>
      <c r="J81" s="112">
        <v>-0.04</v>
      </c>
      <c r="K81" s="113">
        <f t="shared" si="20"/>
        <v>1.0726666666664338E-2</v>
      </c>
      <c r="L81" s="113">
        <f t="shared" si="21"/>
        <v>1.0726666666664338E-2</v>
      </c>
      <c r="M81" s="113">
        <f t="shared" si="22"/>
        <v>1.0726666666664338E-2</v>
      </c>
      <c r="N81" s="51"/>
      <c r="O81" s="113">
        <f t="shared" si="18"/>
        <v>-1.0726666666664338E-2</v>
      </c>
      <c r="P81" s="112">
        <v>-0.04</v>
      </c>
      <c r="Q81" s="50">
        <v>146250</v>
      </c>
      <c r="R81" s="112">
        <v>-4.0000000000000001E-3</v>
      </c>
      <c r="S81" s="113">
        <f t="shared" si="19"/>
        <v>5.4533333333286766E-3</v>
      </c>
      <c r="T81" s="51"/>
      <c r="U81" s="113">
        <f>$U$78+((Q81-$Q$78)/(($B$7)*(12)))</f>
        <v>-5.4533333333286766E-3</v>
      </c>
      <c r="V81" s="115">
        <v>-1.6E-2</v>
      </c>
      <c r="W81" s="115">
        <v>-1.6E-2</v>
      </c>
      <c r="X81" s="112">
        <v>-0.04</v>
      </c>
      <c r="Y81" s="68"/>
      <c r="Z81" s="8"/>
      <c r="AA81" s="8"/>
    </row>
    <row r="82" spans="9:27" x14ac:dyDescent="0.3">
      <c r="I82" s="70" t="s">
        <v>74</v>
      </c>
      <c r="J82" s="112">
        <v>-0.04</v>
      </c>
      <c r="K82" s="113">
        <f>$K$78-((Q82-$Q$78)/((24)*($B$7)))</f>
        <v>8.0000000000000002E-3</v>
      </c>
      <c r="L82" s="113">
        <f>$L$78-((Q82-$Q$78)/((24)*($B$7)))</f>
        <v>8.0000000000000002E-3</v>
      </c>
      <c r="M82" s="113">
        <f>$M$78-((Q82-Q$78)/((24)*($B$7)))</f>
        <v>8.0000000000000002E-3</v>
      </c>
      <c r="N82" s="51"/>
      <c r="O82" s="113">
        <f t="shared" si="18"/>
        <v>-8.0000000000000002E-3</v>
      </c>
      <c r="P82" s="112">
        <v>-0.04</v>
      </c>
      <c r="Q82" s="62">
        <f>Q78+(B12/2)</f>
        <v>146266.35999999999</v>
      </c>
      <c r="R82" s="112">
        <v>-4.0000000000000001E-3</v>
      </c>
      <c r="S82" s="113">
        <f t="shared" si="19"/>
        <v>0</v>
      </c>
      <c r="T82" s="51"/>
      <c r="U82" s="113">
        <f>$U$78+((Q82-$Q$78)/(($B$7)*(12)))</f>
        <v>0</v>
      </c>
      <c r="V82" s="115">
        <v>-1.6E-2</v>
      </c>
      <c r="W82" s="115">
        <v>-1.6E-2</v>
      </c>
      <c r="X82" s="112">
        <v>-0.04</v>
      </c>
      <c r="Y82" s="68" t="s">
        <v>108</v>
      </c>
      <c r="Z82" s="8"/>
      <c r="AA82" s="8"/>
    </row>
    <row r="83" spans="9:27" x14ac:dyDescent="0.3">
      <c r="I83" s="67"/>
      <c r="J83" s="112">
        <v>-0.04</v>
      </c>
      <c r="K83" s="113">
        <f>$K$82-((Q83-$Q$82)/((24)*($B$7)))</f>
        <v>6.5599999999976719E-3</v>
      </c>
      <c r="L83" s="113">
        <f>$L$82-((Q83-$Q$82)/((24)*($B$7)))</f>
        <v>6.5599999999976719E-3</v>
      </c>
      <c r="M83" s="113">
        <f>$M$82-((Q83-Q$82)/((24)*($B$7)))</f>
        <v>6.5599999999976719E-3</v>
      </c>
      <c r="N83" s="51"/>
      <c r="O83" s="113">
        <f t="shared" si="18"/>
        <v>-6.5599999999976719E-3</v>
      </c>
      <c r="P83" s="112">
        <v>-0.04</v>
      </c>
      <c r="Q83" s="50">
        <v>146275</v>
      </c>
      <c r="R83" s="112">
        <v>-4.0000000000000001E-3</v>
      </c>
      <c r="S83" s="113">
        <f t="shared" si="19"/>
        <v>-2.8800000000046566E-3</v>
      </c>
      <c r="T83" s="51"/>
      <c r="U83" s="113">
        <f t="shared" ref="U83:U85" si="23">$U$78+((Q83-$Q$78)/(($B$7)*(12)))</f>
        <v>2.8800000000046566E-3</v>
      </c>
      <c r="V83" s="115">
        <v>-1.6E-2</v>
      </c>
      <c r="W83" s="115">
        <v>-1.6E-2</v>
      </c>
      <c r="X83" s="112">
        <v>-0.04</v>
      </c>
      <c r="Y83" s="68"/>
      <c r="Z83" s="8"/>
      <c r="AA83" s="8"/>
    </row>
    <row r="84" spans="9:27" x14ac:dyDescent="0.3">
      <c r="I84" s="67"/>
      <c r="J84" s="112">
        <v>-0.04</v>
      </c>
      <c r="K84" s="113">
        <f>$K$82-((Q84-$Q$82)/((24)*($B$7)))</f>
        <v>2.3933333333310053E-3</v>
      </c>
      <c r="L84" s="113">
        <f>$L$82-((Q84-$Q$82)/((24)*($B$7)))</f>
        <v>2.3933333333310053E-3</v>
      </c>
      <c r="M84" s="113">
        <f>$M$82-((Q84-Q$82)/((24)*($B$7)))</f>
        <v>2.3933333333310053E-3</v>
      </c>
      <c r="N84" s="51"/>
      <c r="O84" s="113">
        <f t="shared" si="18"/>
        <v>-2.3933333333310053E-3</v>
      </c>
      <c r="P84" s="112">
        <v>-0.04</v>
      </c>
      <c r="Q84" s="50">
        <v>146300</v>
      </c>
      <c r="R84" s="112">
        <v>-4.0000000000000001E-3</v>
      </c>
      <c r="S84" s="113">
        <f t="shared" si="19"/>
        <v>-1.1213333333337988E-2</v>
      </c>
      <c r="T84" s="51"/>
      <c r="U84" s="113">
        <f t="shared" si="23"/>
        <v>1.1213333333337988E-2</v>
      </c>
      <c r="V84" s="115">
        <v>-1.6E-2</v>
      </c>
      <c r="W84" s="115">
        <v>-1.6E-2</v>
      </c>
      <c r="X84" s="112">
        <v>-0.04</v>
      </c>
      <c r="Y84" s="68"/>
      <c r="Z84" s="8"/>
      <c r="AA84" s="8"/>
    </row>
    <row r="85" spans="9:27" x14ac:dyDescent="0.3">
      <c r="I85" s="70" t="s">
        <v>84</v>
      </c>
      <c r="J85" s="112">
        <v>-0.04</v>
      </c>
      <c r="K85" s="113">
        <f>$K$82-((Q85-$Q$82)/((24)*($B$7)))</f>
        <v>0</v>
      </c>
      <c r="L85" s="113">
        <f>$L$82-((Q85-$Q$82)/((24)*($B$7)))</f>
        <v>0</v>
      </c>
      <c r="M85" s="113">
        <f>$M$82-((Q85-Q$82)/((24)*($B$7)))</f>
        <v>0</v>
      </c>
      <c r="N85" s="51"/>
      <c r="O85" s="113">
        <f t="shared" ref="O85:O90" si="24">-M85</f>
        <v>0</v>
      </c>
      <c r="P85" s="112">
        <v>-0.04</v>
      </c>
      <c r="Q85" s="62">
        <f>Q80+B17</f>
        <v>146314.35999999999</v>
      </c>
      <c r="R85" s="112">
        <v>-4.0000000000000001E-3</v>
      </c>
      <c r="S85" s="113">
        <f t="shared" ref="S85:S90" si="25">-U85</f>
        <v>-1.6E-2</v>
      </c>
      <c r="T85" s="109"/>
      <c r="U85" s="113">
        <f t="shared" si="23"/>
        <v>1.6E-2</v>
      </c>
      <c r="V85" s="115">
        <v>-1.6E-2</v>
      </c>
      <c r="W85" s="115">
        <v>-1.6E-2</v>
      </c>
      <c r="X85" s="112">
        <v>-0.04</v>
      </c>
      <c r="Y85" s="68" t="s">
        <v>109</v>
      </c>
      <c r="Z85" s="8"/>
      <c r="AA85" s="8"/>
    </row>
    <row r="86" spans="9:27" x14ac:dyDescent="0.3">
      <c r="I86" s="67"/>
      <c r="J86" s="112">
        <v>-0.04</v>
      </c>
      <c r="K86" s="113">
        <f t="shared" ref="K86:K90" si="26">$K$82-((Q86-$Q$82)/((24)*($B$7)))</f>
        <v>-1.7733333333356614E-3</v>
      </c>
      <c r="L86" s="113">
        <f t="shared" ref="L86:L90" si="27">$L$82-((Q86-$Q$82)/((24)*($B$7)))</f>
        <v>-1.7733333333356614E-3</v>
      </c>
      <c r="M86" s="112">
        <v>1.6E-2</v>
      </c>
      <c r="N86" s="51"/>
      <c r="O86" s="112">
        <f t="shared" si="24"/>
        <v>-1.6E-2</v>
      </c>
      <c r="P86" s="112">
        <v>-0.04</v>
      </c>
      <c r="Q86" s="50">
        <v>146325</v>
      </c>
      <c r="R86" s="112">
        <v>-4.0000000000000001E-3</v>
      </c>
      <c r="S86" s="115">
        <f t="shared" si="25"/>
        <v>-1.6E-2</v>
      </c>
      <c r="T86" s="109"/>
      <c r="U86" s="115">
        <v>1.6E-2</v>
      </c>
      <c r="V86" s="115">
        <v>-1.6E-2</v>
      </c>
      <c r="W86" s="115">
        <v>-1.6E-2</v>
      </c>
      <c r="X86" s="112">
        <v>-0.04</v>
      </c>
      <c r="Y86" s="68"/>
      <c r="Z86" s="8"/>
      <c r="AA86" s="8"/>
    </row>
    <row r="87" spans="9:27" x14ac:dyDescent="0.3">
      <c r="I87" s="67"/>
      <c r="J87" s="112">
        <v>-0.04</v>
      </c>
      <c r="K87" s="113">
        <f t="shared" si="26"/>
        <v>-5.9400000000023288E-3</v>
      </c>
      <c r="L87" s="113">
        <f t="shared" si="27"/>
        <v>-5.9400000000023288E-3</v>
      </c>
      <c r="M87" s="112">
        <v>1.6E-2</v>
      </c>
      <c r="N87" s="51"/>
      <c r="O87" s="112">
        <f t="shared" si="24"/>
        <v>-1.6E-2</v>
      </c>
      <c r="P87" s="112">
        <v>-0.04</v>
      </c>
      <c r="Q87" s="50">
        <v>146350</v>
      </c>
      <c r="R87" s="112">
        <v>-4.0000000000000001E-3</v>
      </c>
      <c r="S87" s="115">
        <f t="shared" si="25"/>
        <v>-1.6E-2</v>
      </c>
      <c r="T87" s="109"/>
      <c r="U87" s="115">
        <v>1.6E-2</v>
      </c>
      <c r="V87" s="115">
        <v>-1.6E-2</v>
      </c>
      <c r="W87" s="115">
        <v>-1.6E-2</v>
      </c>
      <c r="X87" s="112">
        <v>-0.04</v>
      </c>
      <c r="Y87" s="68"/>
      <c r="Z87" s="8"/>
      <c r="AA87" s="8"/>
    </row>
    <row r="88" spans="9:27" x14ac:dyDescent="0.3">
      <c r="I88" s="67"/>
      <c r="J88" s="112">
        <v>-0.04</v>
      </c>
      <c r="K88" s="113">
        <f t="shared" si="26"/>
        <v>-1.0106666666668995E-2</v>
      </c>
      <c r="L88" s="113">
        <f t="shared" si="27"/>
        <v>-1.0106666666668995E-2</v>
      </c>
      <c r="M88" s="112">
        <v>1.6E-2</v>
      </c>
      <c r="N88" s="51"/>
      <c r="O88" s="112">
        <f t="shared" si="24"/>
        <v>-1.6E-2</v>
      </c>
      <c r="P88" s="112">
        <v>-0.04</v>
      </c>
      <c r="Q88" s="50">
        <v>146375</v>
      </c>
      <c r="R88" s="112">
        <v>-4.0000000000000001E-3</v>
      </c>
      <c r="S88" s="115">
        <f t="shared" si="25"/>
        <v>-1.6E-2</v>
      </c>
      <c r="T88" s="109"/>
      <c r="U88" s="115">
        <v>1.6E-2</v>
      </c>
      <c r="V88" s="115">
        <v>-1.6E-2</v>
      </c>
      <c r="W88" s="115">
        <v>-1.6E-2</v>
      </c>
      <c r="X88" s="112">
        <v>-0.04</v>
      </c>
      <c r="Y88" s="68"/>
      <c r="Z88" s="8"/>
      <c r="AA88" s="8"/>
    </row>
    <row r="89" spans="9:27" x14ac:dyDescent="0.3">
      <c r="I89" s="67"/>
      <c r="J89" s="112">
        <v>-0.04</v>
      </c>
      <c r="K89" s="113">
        <f t="shared" si="26"/>
        <v>-1.427333333333566E-2</v>
      </c>
      <c r="L89" s="113">
        <f t="shared" si="27"/>
        <v>-1.427333333333566E-2</v>
      </c>
      <c r="M89" s="112">
        <v>1.6E-2</v>
      </c>
      <c r="N89" s="51"/>
      <c r="O89" s="112">
        <f t="shared" si="24"/>
        <v>-1.6E-2</v>
      </c>
      <c r="P89" s="112">
        <v>-0.04</v>
      </c>
      <c r="Q89" s="50">
        <v>146400</v>
      </c>
      <c r="R89" s="112">
        <v>-4.0000000000000001E-3</v>
      </c>
      <c r="S89" s="115">
        <f t="shared" si="25"/>
        <v>-1.6E-2</v>
      </c>
      <c r="T89" s="109"/>
      <c r="U89" s="115">
        <v>1.6E-2</v>
      </c>
      <c r="V89" s="115">
        <v>-1.6E-2</v>
      </c>
      <c r="W89" s="115">
        <v>-1.6E-2</v>
      </c>
      <c r="X89" s="112">
        <v>-0.04</v>
      </c>
      <c r="Y89" s="68"/>
      <c r="Z89" s="8"/>
      <c r="AA89" s="8"/>
    </row>
    <row r="90" spans="9:27" ht="15" thickBot="1" x14ac:dyDescent="0.35">
      <c r="I90" s="73"/>
      <c r="J90" s="117">
        <v>-0.04</v>
      </c>
      <c r="K90" s="113">
        <f t="shared" si="26"/>
        <v>-1.6E-2</v>
      </c>
      <c r="L90" s="113">
        <f t="shared" si="27"/>
        <v>-1.6E-2</v>
      </c>
      <c r="M90" s="117">
        <v>1.6E-2</v>
      </c>
      <c r="N90" s="76"/>
      <c r="O90" s="117">
        <f t="shared" si="24"/>
        <v>-1.6E-2</v>
      </c>
      <c r="P90" s="112">
        <v>-0.04</v>
      </c>
      <c r="Q90" s="78">
        <f>Q85+B12</f>
        <v>146410.35999999999</v>
      </c>
      <c r="R90" s="112">
        <v>-4.0000000000000001E-3</v>
      </c>
      <c r="S90" s="116">
        <f t="shared" si="25"/>
        <v>-1.6E-2</v>
      </c>
      <c r="T90" s="110"/>
      <c r="U90" s="116">
        <v>1.6E-2</v>
      </c>
      <c r="V90" s="116">
        <v>-1.6E-2</v>
      </c>
      <c r="W90" s="116">
        <v>-1.6E-2</v>
      </c>
      <c r="X90" s="112">
        <v>-0.04</v>
      </c>
      <c r="Y90" s="80"/>
      <c r="Z90" s="8"/>
      <c r="AA90" s="8"/>
    </row>
    <row r="91" spans="9:27" x14ac:dyDescent="0.3">
      <c r="I91" s="8"/>
      <c r="J91" s="1"/>
      <c r="K91" s="1"/>
      <c r="L91" s="1"/>
      <c r="M91" s="1"/>
      <c r="N91" s="1"/>
      <c r="O91" s="1"/>
      <c r="P91" s="1"/>
      <c r="Q91" s="42"/>
      <c r="R91" s="1"/>
      <c r="S91" s="1"/>
      <c r="T91" s="1"/>
      <c r="Y91" s="35"/>
      <c r="Z91" s="8"/>
      <c r="AA91" s="8"/>
    </row>
    <row r="92" spans="9:27" x14ac:dyDescent="0.3">
      <c r="I92" s="8"/>
      <c r="J92" s="1"/>
      <c r="K92" s="1"/>
      <c r="L92" s="1"/>
      <c r="M92" s="1"/>
      <c r="N92" s="1"/>
      <c r="O92" s="1"/>
      <c r="P92" s="1"/>
      <c r="Q92" s="42"/>
      <c r="R92" s="1"/>
      <c r="S92" s="1"/>
      <c r="T92" s="1"/>
      <c r="Y92" s="35"/>
      <c r="Z92" s="8"/>
      <c r="AA92" s="8"/>
    </row>
    <row r="93" spans="9:27" x14ac:dyDescent="0.3">
      <c r="I93" s="8"/>
      <c r="J93" s="1"/>
      <c r="K93" s="1"/>
      <c r="L93" s="1"/>
      <c r="M93" s="1"/>
      <c r="N93" s="1"/>
      <c r="O93" s="1"/>
      <c r="P93" s="1"/>
      <c r="Q93" s="42"/>
      <c r="R93" s="1"/>
      <c r="S93" s="1"/>
      <c r="T93" s="1"/>
      <c r="Y93" s="35"/>
      <c r="Z93" s="8"/>
      <c r="AA93" s="8"/>
    </row>
    <row r="94" spans="9:27" x14ac:dyDescent="0.3">
      <c r="I94" s="8"/>
      <c r="J94" s="1"/>
      <c r="K94" s="1"/>
      <c r="L94" s="1"/>
      <c r="M94" s="1"/>
      <c r="N94" s="1"/>
      <c r="O94" s="1"/>
      <c r="P94" s="1"/>
      <c r="Q94" s="42"/>
      <c r="Y94" s="35"/>
      <c r="Z94" s="8"/>
      <c r="AA94" s="8"/>
    </row>
    <row r="95" spans="9:27" x14ac:dyDescent="0.3">
      <c r="I95" s="8"/>
      <c r="J95" s="1"/>
      <c r="K95" s="1"/>
      <c r="L95" s="1"/>
      <c r="M95" s="1"/>
      <c r="N95" s="1"/>
      <c r="O95" s="1"/>
      <c r="P95" s="1"/>
      <c r="Q95" s="42"/>
      <c r="Y95" s="35"/>
      <c r="Z95" s="8"/>
      <c r="AA95" s="8"/>
    </row>
    <row r="96" spans="9:27" x14ac:dyDescent="0.3">
      <c r="I96" s="8"/>
      <c r="J96" s="1"/>
      <c r="K96" s="1"/>
      <c r="L96" s="1"/>
      <c r="M96" s="1"/>
      <c r="N96" s="1"/>
      <c r="O96" s="1"/>
      <c r="P96" s="1"/>
      <c r="Q96" s="42"/>
      <c r="Y96" s="35"/>
      <c r="Z96" s="8"/>
      <c r="AA96" s="8"/>
    </row>
    <row r="97" spans="9:27" x14ac:dyDescent="0.3">
      <c r="I97" s="8"/>
      <c r="J97" s="1"/>
      <c r="K97" s="1"/>
      <c r="L97" s="1"/>
      <c r="M97" s="1"/>
      <c r="N97" s="1"/>
      <c r="O97" s="1"/>
      <c r="P97" s="1"/>
      <c r="Q97" s="42"/>
      <c r="Y97" s="35"/>
      <c r="Z97" s="8"/>
      <c r="AA97" s="8"/>
    </row>
    <row r="98" spans="9:27" x14ac:dyDescent="0.3">
      <c r="I98" s="8"/>
      <c r="J98" s="1"/>
      <c r="K98" s="1"/>
      <c r="L98" s="1"/>
      <c r="M98" s="1"/>
      <c r="N98" s="1"/>
      <c r="O98" s="1"/>
      <c r="P98" s="1"/>
      <c r="Q98" s="42"/>
      <c r="Y98" s="35"/>
      <c r="Z98" s="8"/>
      <c r="AA98" s="8"/>
    </row>
  </sheetData>
  <mergeCells count="10">
    <mergeCell ref="D29:F34"/>
    <mergeCell ref="J50:P50"/>
    <mergeCell ref="R50:X50"/>
    <mergeCell ref="J71:X73"/>
    <mergeCell ref="A1:C1"/>
    <mergeCell ref="A11:C11"/>
    <mergeCell ref="D11:F11"/>
    <mergeCell ref="D12:F19"/>
    <mergeCell ref="A28:C28"/>
    <mergeCell ref="D28:F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E6659-60C9-4B31-ADDE-EC9FE31A50F2}">
  <dimension ref="A1:AA109"/>
  <sheetViews>
    <sheetView topLeftCell="O76" zoomScale="115" zoomScaleNormal="115" workbookViewId="0">
      <selection activeCell="Q82" sqref="Q82"/>
    </sheetView>
  </sheetViews>
  <sheetFormatPr defaultRowHeight="14.4" x14ac:dyDescent="0.3"/>
  <cols>
    <col min="1" max="2" width="17.77734375" style="8" bestFit="1" customWidth="1"/>
    <col min="3" max="3" width="59.77734375" style="8" customWidth="1"/>
    <col min="4" max="5" width="17.77734375" style="8" customWidth="1"/>
    <col min="6" max="6" width="59.77734375" style="8" customWidth="1"/>
    <col min="7" max="7" width="7.109375" style="8" bestFit="1" customWidth="1"/>
    <col min="8" max="8" width="15.6640625" style="8" customWidth="1"/>
    <col min="9" max="9" width="55.88671875" bestFit="1" customWidth="1"/>
    <col min="10" max="10" width="11.109375" style="40" bestFit="1" customWidth="1"/>
    <col min="11" max="13" width="12.33203125" style="40" bestFit="1" customWidth="1"/>
    <col min="14" max="14" width="19.88671875" style="40" bestFit="1" customWidth="1"/>
    <col min="15" max="15" width="12.44140625" style="40" bestFit="1" customWidth="1"/>
    <col min="16" max="16" width="17.33203125" style="40" bestFit="1" customWidth="1"/>
    <col min="17" max="17" width="23" style="41" bestFit="1" customWidth="1"/>
    <col min="18" max="18" width="17" style="42" bestFit="1" customWidth="1"/>
    <col min="19" max="19" width="19.88671875" style="42" bestFit="1" customWidth="1"/>
    <col min="20" max="20" width="19.88671875" style="42" customWidth="1"/>
    <col min="21" max="21" width="12.44140625" style="1" bestFit="1" customWidth="1"/>
    <col min="22" max="23" width="12.44140625" style="1" customWidth="1"/>
    <col min="24" max="24" width="11.109375" style="1" customWidth="1"/>
    <col min="25" max="25" width="45.77734375" style="45" bestFit="1" customWidth="1"/>
  </cols>
  <sheetData>
    <row r="1" spans="1:27" ht="63" customHeight="1" thickBot="1" x14ac:dyDescent="0.35">
      <c r="A1" s="167" t="s">
        <v>117</v>
      </c>
      <c r="B1" s="168"/>
      <c r="C1" s="168"/>
      <c r="D1" s="81"/>
      <c r="E1" s="81"/>
      <c r="F1" s="81"/>
      <c r="G1" s="81"/>
      <c r="H1" s="81"/>
      <c r="I1" s="81"/>
    </row>
    <row r="2" spans="1:27" x14ac:dyDescent="0.3">
      <c r="A2" s="43" t="s">
        <v>42</v>
      </c>
      <c r="B2" s="90">
        <v>148556.44</v>
      </c>
      <c r="C2" s="82"/>
      <c r="D2"/>
      <c r="E2"/>
      <c r="F2"/>
      <c r="G2"/>
      <c r="H2"/>
    </row>
    <row r="3" spans="1:27" x14ac:dyDescent="0.3">
      <c r="A3" s="44" t="s">
        <v>43</v>
      </c>
      <c r="B3" s="91">
        <v>147661.85</v>
      </c>
      <c r="C3" s="83"/>
      <c r="D3"/>
      <c r="E3"/>
      <c r="F3"/>
      <c r="G3"/>
      <c r="H3"/>
    </row>
    <row r="4" spans="1:27" x14ac:dyDescent="0.3">
      <c r="A4" s="44" t="s">
        <v>44</v>
      </c>
      <c r="B4" s="91">
        <v>149436.71</v>
      </c>
      <c r="C4" s="83"/>
      <c r="D4"/>
      <c r="E4"/>
      <c r="F4"/>
      <c r="G4"/>
      <c r="H4"/>
    </row>
    <row r="5" spans="1:27" ht="16.2" x14ac:dyDescent="0.3">
      <c r="A5" s="44" t="s">
        <v>1</v>
      </c>
      <c r="B5" s="37" t="s">
        <v>111</v>
      </c>
      <c r="C5" s="83" t="s">
        <v>103</v>
      </c>
      <c r="D5"/>
      <c r="E5" s="156">
        <f>B4-B3</f>
        <v>1774.859999999986</v>
      </c>
      <c r="F5"/>
      <c r="G5"/>
      <c r="H5"/>
    </row>
    <row r="6" spans="1:27" x14ac:dyDescent="0.3">
      <c r="A6" s="44" t="s">
        <v>45</v>
      </c>
      <c r="B6" s="37" t="s">
        <v>6</v>
      </c>
      <c r="C6" s="83"/>
      <c r="D6"/>
      <c r="E6"/>
      <c r="F6"/>
      <c r="G6"/>
      <c r="H6"/>
    </row>
    <row r="7" spans="1:27" x14ac:dyDescent="0.3">
      <c r="A7" s="44" t="s">
        <v>46</v>
      </c>
      <c r="B7" s="37">
        <v>250</v>
      </c>
      <c r="C7" s="83"/>
      <c r="D7"/>
      <c r="E7"/>
      <c r="F7"/>
      <c r="G7"/>
      <c r="H7"/>
    </row>
    <row r="8" spans="1:27" x14ac:dyDescent="0.3">
      <c r="A8" s="44" t="s">
        <v>8</v>
      </c>
      <c r="B8" s="38" t="s">
        <v>110</v>
      </c>
      <c r="C8" s="37" t="s">
        <v>48</v>
      </c>
      <c r="I8" s="8"/>
      <c r="K8" s="1"/>
      <c r="L8" s="1"/>
      <c r="M8" s="1"/>
      <c r="N8" s="1"/>
      <c r="O8" s="1"/>
      <c r="P8" s="1"/>
      <c r="Q8" s="42"/>
      <c r="Y8" s="35"/>
      <c r="Z8" s="8"/>
      <c r="AA8" s="8"/>
    </row>
    <row r="9" spans="1:27" x14ac:dyDescent="0.3">
      <c r="A9" s="44"/>
      <c r="B9" s="39">
        <v>3.3000000000000002E-2</v>
      </c>
      <c r="C9" s="83" t="s">
        <v>49</v>
      </c>
      <c r="D9"/>
      <c r="E9"/>
      <c r="F9"/>
      <c r="G9"/>
      <c r="H9"/>
      <c r="P9" s="1"/>
      <c r="Q9" s="42"/>
      <c r="Y9" s="35"/>
      <c r="Z9" s="8"/>
      <c r="AA9" s="8"/>
    </row>
    <row r="10" spans="1:27" ht="15" thickBot="1" x14ac:dyDescent="0.35">
      <c r="A10" s="44" t="s">
        <v>51</v>
      </c>
      <c r="B10" s="39">
        <v>1.6E-2</v>
      </c>
      <c r="C10" s="83"/>
      <c r="D10"/>
      <c r="E10"/>
      <c r="F10"/>
      <c r="G10"/>
      <c r="H10"/>
      <c r="P10" s="1"/>
      <c r="Q10" s="42"/>
      <c r="Y10" s="35"/>
      <c r="Z10" s="8"/>
      <c r="AA10" s="8"/>
    </row>
    <row r="11" spans="1:27" ht="15" thickBot="1" x14ac:dyDescent="0.35">
      <c r="A11" s="169" t="s">
        <v>92</v>
      </c>
      <c r="B11" s="170"/>
      <c r="C11" s="171"/>
      <c r="D11" s="169" t="s">
        <v>94</v>
      </c>
      <c r="E11" s="170"/>
      <c r="F11" s="171"/>
      <c r="G11"/>
      <c r="H11"/>
      <c r="P11" s="1"/>
      <c r="Q11" s="42"/>
      <c r="Y11" s="35"/>
      <c r="Z11" s="8"/>
      <c r="AA11" s="8"/>
    </row>
    <row r="12" spans="1:27" x14ac:dyDescent="0.3">
      <c r="A12" s="92" t="s">
        <v>50</v>
      </c>
      <c r="B12" s="84">
        <f>(24)*(B10)*(B7)</f>
        <v>96</v>
      </c>
      <c r="C12" s="84" t="s">
        <v>61</v>
      </c>
      <c r="D12" s="175"/>
      <c r="E12" s="176"/>
      <c r="F12" s="177"/>
      <c r="I12" s="8"/>
      <c r="J12" s="1"/>
      <c r="K12" s="1"/>
      <c r="L12" s="1"/>
      <c r="M12" s="1"/>
      <c r="N12" s="1"/>
      <c r="O12" s="1"/>
      <c r="P12" s="1"/>
      <c r="Q12" s="42"/>
      <c r="Y12" s="35"/>
      <c r="Z12" s="8"/>
      <c r="AA12" s="8"/>
    </row>
    <row r="13" spans="1:27" x14ac:dyDescent="0.3">
      <c r="A13" s="92" t="s">
        <v>53</v>
      </c>
      <c r="B13" s="84" t="s">
        <v>54</v>
      </c>
      <c r="C13" s="84" t="s">
        <v>58</v>
      </c>
      <c r="D13" s="178"/>
      <c r="E13" s="179"/>
      <c r="F13" s="180"/>
      <c r="I13" s="8"/>
      <c r="J13" s="1"/>
      <c r="K13" s="1"/>
      <c r="L13" s="1"/>
      <c r="M13" s="1"/>
      <c r="N13" s="1"/>
      <c r="O13" s="1"/>
      <c r="P13" s="1"/>
      <c r="Q13" s="42"/>
      <c r="Y13" s="35"/>
      <c r="Z13" s="8"/>
      <c r="AA13" s="8"/>
    </row>
    <row r="14" spans="1:27" x14ac:dyDescent="0.3">
      <c r="A14" s="92" t="s">
        <v>55</v>
      </c>
      <c r="B14" s="84">
        <f>(24)*(B10)*(B7)</f>
        <v>96</v>
      </c>
      <c r="C14" s="84"/>
      <c r="D14" s="178"/>
      <c r="E14" s="179"/>
      <c r="F14" s="180"/>
      <c r="I14" s="8"/>
      <c r="J14" s="1"/>
      <c r="K14" s="1"/>
      <c r="L14" s="1"/>
      <c r="M14" s="1"/>
      <c r="N14" s="1"/>
      <c r="O14" s="1"/>
      <c r="P14" s="1"/>
      <c r="Q14" s="42"/>
      <c r="Y14" s="35"/>
      <c r="Z14" s="8"/>
      <c r="AA14" s="8"/>
    </row>
    <row r="15" spans="1:27" x14ac:dyDescent="0.3">
      <c r="A15" s="92" t="s">
        <v>56</v>
      </c>
      <c r="B15" s="84">
        <f>(36)*(B9-B10)*(B7)</f>
        <v>153.00000000000003</v>
      </c>
      <c r="C15" s="84" t="s">
        <v>60</v>
      </c>
      <c r="D15" s="178"/>
      <c r="E15" s="179"/>
      <c r="F15" s="180"/>
      <c r="I15" s="8"/>
      <c r="J15" s="1"/>
      <c r="K15" s="1"/>
      <c r="L15" s="1"/>
      <c r="M15" s="1"/>
      <c r="N15" s="1"/>
      <c r="O15" s="1"/>
      <c r="P15" s="1"/>
      <c r="Q15" s="42"/>
      <c r="Y15" s="35"/>
      <c r="Z15" s="8"/>
      <c r="AA15" s="8"/>
    </row>
    <row r="16" spans="1:27" x14ac:dyDescent="0.3">
      <c r="A16" s="92" t="s">
        <v>53</v>
      </c>
      <c r="B16" s="84">
        <f>B14+B15</f>
        <v>249.00000000000003</v>
      </c>
      <c r="C16" s="84"/>
      <c r="D16" s="178"/>
      <c r="E16" s="179"/>
      <c r="F16" s="180"/>
      <c r="I16" s="8"/>
      <c r="J16" s="1"/>
      <c r="K16" s="1"/>
      <c r="L16" s="1"/>
      <c r="M16" s="1"/>
      <c r="N16" s="1"/>
      <c r="O16" s="1"/>
      <c r="P16" s="1"/>
      <c r="Q16" s="42"/>
      <c r="Y16" s="35"/>
      <c r="Z16" s="8"/>
      <c r="AA16" s="8"/>
    </row>
    <row r="17" spans="1:27" x14ac:dyDescent="0.3">
      <c r="A17" s="92" t="s">
        <v>62</v>
      </c>
      <c r="B17" s="84">
        <f>(2/3)*(B16)</f>
        <v>166</v>
      </c>
      <c r="C17" s="84"/>
      <c r="D17" s="178"/>
      <c r="E17" s="179"/>
      <c r="F17" s="180"/>
      <c r="I17" s="8"/>
      <c r="J17" s="1"/>
      <c r="K17" s="1"/>
      <c r="L17" s="1"/>
      <c r="M17" s="1"/>
      <c r="N17" s="1"/>
      <c r="O17" s="1"/>
      <c r="P17" s="1"/>
      <c r="Q17" s="42"/>
      <c r="Y17" s="35"/>
      <c r="Z17" s="8"/>
      <c r="AA17" s="8"/>
    </row>
    <row r="18" spans="1:27" x14ac:dyDescent="0.3">
      <c r="A18" s="92" t="s">
        <v>86</v>
      </c>
      <c r="B18" s="84">
        <f>(1/3)*(B16)</f>
        <v>83</v>
      </c>
      <c r="C18" s="84"/>
      <c r="D18" s="178"/>
      <c r="E18" s="179"/>
      <c r="F18" s="180"/>
      <c r="I18" s="8"/>
      <c r="J18" s="1"/>
      <c r="K18" s="1"/>
      <c r="L18" s="1"/>
      <c r="M18" s="1"/>
      <c r="N18" s="1"/>
      <c r="O18" s="1"/>
      <c r="P18" s="1"/>
      <c r="Q18" s="42"/>
      <c r="Y18" s="35"/>
      <c r="Z18" s="8"/>
      <c r="AA18" s="8"/>
    </row>
    <row r="19" spans="1:27" x14ac:dyDescent="0.3">
      <c r="A19" s="98"/>
      <c r="B19" s="99"/>
      <c r="C19" s="99"/>
      <c r="D19" s="181"/>
      <c r="E19" s="182"/>
      <c r="F19" s="183"/>
      <c r="I19" s="8"/>
      <c r="J19" s="1"/>
      <c r="K19" s="1"/>
      <c r="L19" s="1"/>
      <c r="M19" s="1"/>
      <c r="N19" s="1"/>
      <c r="O19" s="1"/>
      <c r="P19" s="1"/>
      <c r="Q19" s="42"/>
      <c r="Y19" s="35"/>
      <c r="Z19" s="8"/>
      <c r="AA19" s="8"/>
    </row>
    <row r="20" spans="1:27" x14ac:dyDescent="0.3">
      <c r="A20" s="92" t="s">
        <v>88</v>
      </c>
      <c r="B20" s="94">
        <f>(B21)-B12</f>
        <v>147399.85</v>
      </c>
      <c r="C20" s="84" t="s">
        <v>89</v>
      </c>
      <c r="D20" s="92" t="s">
        <v>90</v>
      </c>
      <c r="E20" s="94">
        <f>E22-(B18)</f>
        <v>149353.71</v>
      </c>
      <c r="F20" s="84" t="s">
        <v>98</v>
      </c>
      <c r="I20" s="8"/>
      <c r="J20" s="1"/>
      <c r="K20" s="1"/>
      <c r="L20" s="1"/>
      <c r="M20" s="1"/>
      <c r="N20" s="1"/>
      <c r="O20" s="1"/>
      <c r="P20" s="1"/>
      <c r="Q20" s="42"/>
      <c r="Y20" s="35"/>
      <c r="Z20" s="8"/>
      <c r="AA20" s="8"/>
    </row>
    <row r="21" spans="1:27" x14ac:dyDescent="0.3">
      <c r="A21" s="92"/>
      <c r="B21" s="94">
        <f>(B25)-(B17)</f>
        <v>147495.85</v>
      </c>
      <c r="C21" s="84" t="s">
        <v>96</v>
      </c>
      <c r="D21" s="92"/>
      <c r="E21" s="94">
        <f>E20+((B9-0.03)*(36)*(B7))</f>
        <v>149380.71</v>
      </c>
      <c r="F21" s="96">
        <v>0.03</v>
      </c>
      <c r="I21" s="8"/>
      <c r="J21" s="1"/>
      <c r="K21" s="1"/>
      <c r="L21" s="1"/>
      <c r="M21" s="1"/>
      <c r="N21" s="1"/>
      <c r="O21" s="1"/>
      <c r="P21" s="1"/>
      <c r="Q21" s="42"/>
      <c r="Y21" s="35"/>
      <c r="Z21" s="8"/>
      <c r="AA21" s="8"/>
    </row>
    <row r="22" spans="1:27" x14ac:dyDescent="0.3">
      <c r="A22" s="92"/>
      <c r="B22" s="94">
        <f>B21+((24)*(B10-0.008)*(B7))</f>
        <v>147543.85</v>
      </c>
      <c r="C22" s="96">
        <v>8.0000000000000002E-3</v>
      </c>
      <c r="D22" s="92" t="s">
        <v>44</v>
      </c>
      <c r="E22" s="94">
        <f>B4</f>
        <v>149436.71</v>
      </c>
      <c r="F22" s="96" t="str">
        <f>D22</f>
        <v>PT</v>
      </c>
      <c r="I22" s="8"/>
      <c r="J22" s="1"/>
      <c r="K22" s="1"/>
      <c r="L22" s="1"/>
      <c r="M22" s="1"/>
      <c r="N22" s="1"/>
      <c r="O22" s="1"/>
      <c r="P22" s="1"/>
      <c r="Q22" s="42"/>
      <c r="Y22" s="35"/>
      <c r="Z22" s="8"/>
      <c r="AA22" s="8"/>
    </row>
    <row r="23" spans="1:27" x14ac:dyDescent="0.3">
      <c r="A23" s="92"/>
      <c r="B23" s="94">
        <f>B21+B12</f>
        <v>147591.85</v>
      </c>
      <c r="C23" s="96">
        <v>1.6E-2</v>
      </c>
      <c r="D23" s="92"/>
      <c r="E23" s="94"/>
      <c r="F23" s="96"/>
      <c r="I23" s="8"/>
      <c r="J23" s="1"/>
      <c r="K23" s="1"/>
      <c r="L23" s="1"/>
      <c r="M23" s="1"/>
      <c r="N23" s="1"/>
      <c r="O23" s="1"/>
      <c r="P23" s="1"/>
      <c r="Q23" s="42"/>
      <c r="Y23" s="35"/>
      <c r="Z23" s="8"/>
      <c r="AA23" s="8"/>
    </row>
    <row r="24" spans="1:27" x14ac:dyDescent="0.3">
      <c r="A24" s="92"/>
      <c r="B24" s="94"/>
      <c r="C24" s="96"/>
      <c r="D24" s="92"/>
      <c r="E24" s="94">
        <f>E20+((B9-B10)*(36)*(B7))</f>
        <v>149506.71</v>
      </c>
      <c r="F24" s="96">
        <v>1.6E-2</v>
      </c>
      <c r="I24" s="8"/>
      <c r="J24" s="1"/>
      <c r="K24" s="1"/>
      <c r="L24" s="1"/>
      <c r="M24" s="1"/>
      <c r="N24" s="1"/>
      <c r="O24" s="1"/>
      <c r="P24" s="1"/>
      <c r="Q24" s="42"/>
      <c r="Y24" s="35"/>
      <c r="Z24" s="8"/>
      <c r="AA24" s="8"/>
    </row>
    <row r="25" spans="1:27" x14ac:dyDescent="0.3">
      <c r="A25" s="92" t="s">
        <v>43</v>
      </c>
      <c r="B25" s="94">
        <f>B3</f>
        <v>147661.85</v>
      </c>
      <c r="C25" s="84" t="str">
        <f>A25</f>
        <v>PC</v>
      </c>
      <c r="D25" s="92"/>
      <c r="E25" s="94">
        <f>E24+((B10-0.008)*(24)*(B7))</f>
        <v>149554.71</v>
      </c>
      <c r="F25" s="96">
        <v>8.0000000000000002E-3</v>
      </c>
      <c r="G25" s="100"/>
      <c r="H25" s="100"/>
      <c r="I25" s="8"/>
      <c r="J25" s="1"/>
      <c r="K25" s="1"/>
      <c r="L25" s="1"/>
      <c r="M25" s="1"/>
      <c r="N25" s="1"/>
      <c r="O25" s="1"/>
      <c r="P25" s="1"/>
      <c r="Q25" s="42"/>
      <c r="Y25" s="35"/>
      <c r="Z25" s="8"/>
      <c r="AA25" s="8"/>
    </row>
    <row r="26" spans="1:27" x14ac:dyDescent="0.3">
      <c r="A26" s="92"/>
      <c r="B26" s="94">
        <f>B23+((0.03-B10)*(36)*(250))</f>
        <v>147717.85</v>
      </c>
      <c r="C26" s="96">
        <v>0.03</v>
      </c>
      <c r="D26" s="92"/>
      <c r="E26" s="94">
        <f>E22+B17</f>
        <v>149602.71</v>
      </c>
      <c r="F26" s="97" t="s">
        <v>99</v>
      </c>
      <c r="G26" s="100">
        <f>E26-E25</f>
        <v>48</v>
      </c>
      <c r="H26" s="100" t="s">
        <v>100</v>
      </c>
      <c r="I26" s="8"/>
      <c r="J26" s="1"/>
      <c r="K26" s="1"/>
      <c r="L26" s="1"/>
      <c r="M26" s="1"/>
      <c r="N26" s="1"/>
      <c r="O26" s="1"/>
      <c r="P26" s="1"/>
      <c r="Q26" s="42"/>
      <c r="Y26" s="35"/>
      <c r="Z26" s="8"/>
      <c r="AA26" s="8"/>
    </row>
    <row r="27" spans="1:27" ht="15" thickBot="1" x14ac:dyDescent="0.35">
      <c r="A27" s="101" t="s">
        <v>90</v>
      </c>
      <c r="B27" s="102">
        <f>B25+B18</f>
        <v>147744.85</v>
      </c>
      <c r="C27" s="103" t="s">
        <v>97</v>
      </c>
      <c r="D27" s="101" t="s">
        <v>88</v>
      </c>
      <c r="E27" s="102">
        <f>E26+B14</f>
        <v>149698.71</v>
      </c>
      <c r="F27" s="103" t="s">
        <v>84</v>
      </c>
      <c r="G27" s="100">
        <f>E27-E20</f>
        <v>345</v>
      </c>
      <c r="H27" s="8" t="s">
        <v>100</v>
      </c>
      <c r="I27" s="8"/>
      <c r="J27" s="1"/>
      <c r="K27" s="1"/>
      <c r="L27" s="1"/>
      <c r="M27" s="1"/>
      <c r="N27" s="1"/>
      <c r="O27" s="1"/>
      <c r="P27" s="1"/>
      <c r="Q27" s="42"/>
      <c r="Y27" s="35"/>
      <c r="Z27" s="8"/>
      <c r="AA27" s="8"/>
    </row>
    <row r="28" spans="1:27" ht="15" thickBot="1" x14ac:dyDescent="0.35">
      <c r="A28" s="172" t="s">
        <v>93</v>
      </c>
      <c r="B28" s="173"/>
      <c r="C28" s="174"/>
      <c r="D28" s="172" t="s">
        <v>95</v>
      </c>
      <c r="E28" s="173"/>
      <c r="F28" s="174"/>
      <c r="I28" s="8"/>
      <c r="J28" s="1"/>
      <c r="K28" s="1"/>
      <c r="L28" s="1"/>
      <c r="M28" s="1"/>
      <c r="N28" s="1"/>
      <c r="O28" s="1"/>
      <c r="P28" s="1"/>
      <c r="Q28" s="42"/>
      <c r="Y28" s="35"/>
      <c r="Z28" s="8"/>
      <c r="AA28" s="8"/>
    </row>
    <row r="29" spans="1:27" x14ac:dyDescent="0.3">
      <c r="A29" s="104" t="s">
        <v>50</v>
      </c>
      <c r="B29" s="89">
        <f>(12)*(B10)*(B7)</f>
        <v>48</v>
      </c>
      <c r="C29" s="89" t="s">
        <v>85</v>
      </c>
      <c r="D29" s="175"/>
      <c r="E29" s="176"/>
      <c r="F29" s="177"/>
      <c r="I29" s="8"/>
      <c r="J29" s="1"/>
      <c r="K29" s="1"/>
      <c r="L29" s="1"/>
      <c r="M29" s="1"/>
      <c r="N29" s="1"/>
      <c r="O29" s="1"/>
      <c r="P29" s="1"/>
      <c r="Q29" s="42"/>
      <c r="Y29" s="35"/>
      <c r="Z29" s="8"/>
      <c r="AA29" s="8"/>
    </row>
    <row r="30" spans="1:27" x14ac:dyDescent="0.3">
      <c r="A30" s="92" t="s">
        <v>53</v>
      </c>
      <c r="B30" s="84" t="s">
        <v>54</v>
      </c>
      <c r="C30" s="84" t="s">
        <v>58</v>
      </c>
      <c r="D30" s="178"/>
      <c r="E30" s="179"/>
      <c r="F30" s="180"/>
      <c r="I30" s="8"/>
      <c r="J30" s="1"/>
      <c r="K30" s="1"/>
      <c r="L30" s="1"/>
      <c r="M30" s="1"/>
      <c r="N30" s="1"/>
      <c r="O30" s="1"/>
      <c r="P30" s="1"/>
      <c r="Q30" s="42"/>
      <c r="Y30" s="35"/>
      <c r="Z30" s="8"/>
      <c r="AA30" s="8"/>
    </row>
    <row r="31" spans="1:27" x14ac:dyDescent="0.3">
      <c r="A31" s="92" t="s">
        <v>55</v>
      </c>
      <c r="B31" s="84">
        <f>(12)*(B10)*(B7)</f>
        <v>48</v>
      </c>
      <c r="C31" s="84"/>
      <c r="D31" s="178"/>
      <c r="E31" s="179"/>
      <c r="F31" s="180"/>
      <c r="I31" s="8"/>
      <c r="J31" s="1"/>
      <c r="K31" s="1"/>
      <c r="L31" s="1"/>
      <c r="M31" s="1"/>
      <c r="N31" s="1"/>
      <c r="O31" s="1"/>
      <c r="P31" s="1"/>
      <c r="Q31" s="42"/>
      <c r="Y31" s="35"/>
      <c r="Z31" s="8"/>
      <c r="AA31" s="8"/>
    </row>
    <row r="32" spans="1:27" x14ac:dyDescent="0.3">
      <c r="A32" s="92" t="s">
        <v>56</v>
      </c>
      <c r="B32" s="84">
        <f>(36)*(B9-B10)*(B7)</f>
        <v>153.00000000000003</v>
      </c>
      <c r="C32" s="84" t="s">
        <v>60</v>
      </c>
      <c r="D32" s="178"/>
      <c r="E32" s="179"/>
      <c r="F32" s="180"/>
      <c r="I32" s="8"/>
      <c r="J32" s="1"/>
      <c r="K32" s="1"/>
      <c r="L32" s="1"/>
      <c r="M32" s="1"/>
      <c r="N32" s="1"/>
      <c r="O32" s="1"/>
      <c r="P32" s="1"/>
      <c r="Q32" s="42"/>
      <c r="Y32" s="35"/>
      <c r="Z32" s="8"/>
      <c r="AA32" s="8"/>
    </row>
    <row r="33" spans="1:27" x14ac:dyDescent="0.3">
      <c r="A33" s="92" t="s">
        <v>53</v>
      </c>
      <c r="B33" s="84">
        <f>B31+B32</f>
        <v>201.00000000000003</v>
      </c>
      <c r="C33" s="84"/>
      <c r="D33" s="178"/>
      <c r="E33" s="179"/>
      <c r="F33" s="180"/>
      <c r="I33" s="8"/>
      <c r="J33" s="1"/>
      <c r="K33" s="1"/>
      <c r="L33" s="1"/>
      <c r="M33" s="1"/>
      <c r="N33" s="1"/>
      <c r="O33" s="1"/>
      <c r="P33" s="1"/>
      <c r="Q33" s="42"/>
      <c r="Y33" s="35"/>
      <c r="Z33" s="8"/>
      <c r="AA33" s="8"/>
    </row>
    <row r="34" spans="1:27" ht="15" thickBot="1" x14ac:dyDescent="0.35">
      <c r="A34" s="106"/>
      <c r="B34" s="107"/>
      <c r="C34" s="107"/>
      <c r="D34" s="178"/>
      <c r="E34" s="179"/>
      <c r="F34" s="180"/>
      <c r="I34" s="8"/>
      <c r="J34" s="1"/>
      <c r="K34" s="1"/>
      <c r="L34" s="1"/>
      <c r="M34" s="1"/>
      <c r="N34" s="1"/>
      <c r="O34" s="1"/>
      <c r="P34" s="1"/>
      <c r="Q34" s="42"/>
      <c r="Y34" s="35"/>
      <c r="Z34" s="8"/>
      <c r="AA34" s="8"/>
    </row>
    <row r="35" spans="1:27" x14ac:dyDescent="0.3">
      <c r="A35" s="104" t="s">
        <v>88</v>
      </c>
      <c r="B35" s="108">
        <f>B36-B29</f>
        <v>147495.85</v>
      </c>
      <c r="C35" s="89" t="s">
        <v>89</v>
      </c>
      <c r="D35" s="86" t="s">
        <v>90</v>
      </c>
      <c r="E35" s="108">
        <f>E20</f>
        <v>149353.71</v>
      </c>
      <c r="F35" s="89" t="s">
        <v>98</v>
      </c>
      <c r="I35" s="8"/>
      <c r="J35" s="1"/>
      <c r="K35" s="1"/>
      <c r="L35" s="1"/>
      <c r="M35" s="1"/>
      <c r="N35" s="1"/>
      <c r="O35" s="1"/>
      <c r="P35" s="1"/>
      <c r="Q35" s="42"/>
      <c r="Y35" s="35"/>
      <c r="Z35" s="8"/>
      <c r="AA35" s="8"/>
    </row>
    <row r="36" spans="1:27" x14ac:dyDescent="0.3">
      <c r="A36" s="92" t="s">
        <v>87</v>
      </c>
      <c r="B36" s="94">
        <f>B22</f>
        <v>147543.85</v>
      </c>
      <c r="C36" s="84" t="s">
        <v>91</v>
      </c>
      <c r="D36" s="87"/>
      <c r="E36" s="94"/>
      <c r="F36" s="97"/>
      <c r="I36" s="8"/>
      <c r="J36" s="1"/>
      <c r="K36" s="1"/>
      <c r="L36" s="1"/>
      <c r="M36" s="1"/>
      <c r="N36" s="1"/>
      <c r="O36" s="1"/>
      <c r="P36" s="1"/>
      <c r="Q36" s="42"/>
      <c r="Y36" s="35"/>
      <c r="Z36" s="8"/>
      <c r="AA36" s="8"/>
    </row>
    <row r="37" spans="1:27" x14ac:dyDescent="0.3">
      <c r="A37" s="92"/>
      <c r="B37" s="94">
        <f>B36+B31</f>
        <v>147591.85</v>
      </c>
      <c r="C37" s="96">
        <v>1.6E-2</v>
      </c>
      <c r="D37" s="87"/>
      <c r="E37" s="94">
        <f>E35+((B9-0.03)*(36)*(B7))</f>
        <v>149380.71</v>
      </c>
      <c r="F37" s="96">
        <v>0.03</v>
      </c>
      <c r="I37" s="8"/>
      <c r="J37" s="1"/>
      <c r="K37" s="1"/>
      <c r="L37" s="1"/>
      <c r="M37" s="1"/>
      <c r="N37" s="1"/>
      <c r="O37" s="1"/>
      <c r="P37" s="1"/>
      <c r="Q37" s="42"/>
      <c r="Y37" s="35"/>
      <c r="Z37" s="8"/>
      <c r="AA37" s="8"/>
    </row>
    <row r="38" spans="1:27" x14ac:dyDescent="0.3">
      <c r="A38" s="92"/>
      <c r="B38" s="94">
        <f>B37+((0.03-B10)*(36)*(B7))</f>
        <v>147717.85</v>
      </c>
      <c r="C38" s="96">
        <v>0.03</v>
      </c>
      <c r="D38" s="87"/>
      <c r="E38" s="94">
        <f>E35+((B9-B10)*(36)*(B7))</f>
        <v>149506.71</v>
      </c>
      <c r="F38" s="96">
        <v>1.6E-2</v>
      </c>
      <c r="I38" s="8"/>
      <c r="J38" s="1"/>
      <c r="K38" s="1"/>
      <c r="L38" s="1"/>
      <c r="M38" s="1"/>
      <c r="N38" s="1"/>
      <c r="O38" s="1"/>
      <c r="P38" s="1"/>
      <c r="Q38" s="42"/>
      <c r="Y38" s="35"/>
      <c r="Z38" s="8"/>
      <c r="AA38" s="8"/>
    </row>
    <row r="39" spans="1:27" x14ac:dyDescent="0.3">
      <c r="A39" s="92"/>
      <c r="B39" s="94"/>
      <c r="C39" s="96"/>
      <c r="D39" s="87"/>
      <c r="E39" s="94">
        <f>E38+((B10)*(12)*(B7))</f>
        <v>149554.71</v>
      </c>
      <c r="F39" s="96" t="s">
        <v>99</v>
      </c>
      <c r="I39" s="8"/>
      <c r="J39" s="1"/>
      <c r="K39" s="1"/>
      <c r="L39" s="1"/>
      <c r="M39" s="1"/>
      <c r="N39" s="1"/>
      <c r="O39" s="1"/>
      <c r="P39" s="1"/>
      <c r="Q39" s="42"/>
      <c r="Y39" s="35"/>
      <c r="Z39" s="8"/>
      <c r="AA39" s="8"/>
    </row>
    <row r="40" spans="1:27" ht="15" thickBot="1" x14ac:dyDescent="0.35">
      <c r="A40" s="93" t="s">
        <v>90</v>
      </c>
      <c r="B40" s="95">
        <f>B36+B33</f>
        <v>147744.85</v>
      </c>
      <c r="C40" s="105">
        <v>3.3000000000000002E-2</v>
      </c>
      <c r="D40" s="88"/>
      <c r="E40" s="95">
        <f>E38+((B10+B10)*(12)*(B7))</f>
        <v>149602.71</v>
      </c>
      <c r="F40" s="85" t="s">
        <v>84</v>
      </c>
      <c r="I40" s="8"/>
      <c r="J40" s="1"/>
      <c r="K40" s="1"/>
      <c r="L40" s="1"/>
      <c r="M40" s="1"/>
      <c r="N40" s="1"/>
      <c r="O40" s="1"/>
      <c r="P40" s="1"/>
      <c r="Q40" s="42"/>
      <c r="Y40" s="35"/>
      <c r="Z40" s="8"/>
      <c r="AA40" s="8"/>
    </row>
    <row r="41" spans="1:27" x14ac:dyDescent="0.3">
      <c r="I41" s="8"/>
      <c r="J41" s="1"/>
      <c r="K41" s="1"/>
      <c r="L41" s="1"/>
      <c r="M41" s="1"/>
      <c r="N41" s="1"/>
      <c r="O41" s="1"/>
      <c r="P41" s="1"/>
      <c r="Q41" s="42"/>
      <c r="Y41" s="35"/>
      <c r="Z41" s="8"/>
      <c r="AA41" s="8"/>
    </row>
    <row r="42" spans="1:27" x14ac:dyDescent="0.3">
      <c r="I42" s="8"/>
      <c r="J42" s="1"/>
      <c r="K42" s="1"/>
      <c r="L42" s="1"/>
      <c r="M42" s="1"/>
      <c r="N42" s="1"/>
      <c r="O42" s="1"/>
      <c r="P42" s="1"/>
      <c r="Q42" s="42"/>
      <c r="Y42" s="35"/>
      <c r="Z42" s="8"/>
      <c r="AA42" s="8"/>
    </row>
    <row r="43" spans="1:27" x14ac:dyDescent="0.3">
      <c r="I43" s="8"/>
      <c r="J43" s="1"/>
      <c r="K43" s="1"/>
      <c r="L43" s="1"/>
      <c r="M43" s="1"/>
      <c r="N43" s="1"/>
      <c r="O43" s="1"/>
      <c r="P43" s="1"/>
      <c r="Q43" s="42"/>
      <c r="Y43" s="35"/>
      <c r="Z43" s="8"/>
      <c r="AA43" s="8"/>
    </row>
    <row r="44" spans="1:27" x14ac:dyDescent="0.3">
      <c r="I44" s="8"/>
      <c r="J44" s="1"/>
      <c r="K44" s="1"/>
      <c r="L44" s="1"/>
      <c r="M44" s="1"/>
      <c r="N44" s="1"/>
      <c r="O44" s="1"/>
      <c r="P44" s="1"/>
      <c r="Q44" s="42"/>
      <c r="Y44" s="35"/>
      <c r="Z44" s="8"/>
      <c r="AA44" s="8"/>
    </row>
    <row r="45" spans="1:27" x14ac:dyDescent="0.3">
      <c r="I45" s="8"/>
      <c r="J45" s="1"/>
      <c r="K45" s="1"/>
      <c r="L45" s="1"/>
      <c r="M45" s="1"/>
      <c r="N45" s="1"/>
      <c r="O45" s="1"/>
      <c r="P45" s="1"/>
      <c r="Q45" s="42"/>
      <c r="Y45" s="35"/>
      <c r="Z45" s="8"/>
      <c r="AA45" s="8"/>
    </row>
    <row r="46" spans="1:27" x14ac:dyDescent="0.3">
      <c r="I46" s="8"/>
      <c r="J46" s="1"/>
      <c r="K46" s="1"/>
      <c r="L46" s="1"/>
      <c r="M46" s="1"/>
      <c r="N46" s="1"/>
      <c r="O46" s="1"/>
      <c r="P46" s="1"/>
      <c r="Q46" s="42"/>
      <c r="Y46" s="35"/>
      <c r="Z46" s="8"/>
      <c r="AA46" s="8"/>
    </row>
    <row r="47" spans="1:27" x14ac:dyDescent="0.3">
      <c r="I47" s="8"/>
      <c r="J47" s="1"/>
      <c r="K47" s="1"/>
      <c r="L47" s="1"/>
      <c r="M47" s="1"/>
      <c r="N47" s="1"/>
      <c r="O47" s="1"/>
      <c r="P47" s="1"/>
      <c r="Q47" s="42"/>
      <c r="Y47" s="35"/>
      <c r="Z47" s="8"/>
      <c r="AA47" s="8"/>
    </row>
    <row r="48" spans="1:27" ht="15" thickBot="1" x14ac:dyDescent="0.35">
      <c r="I48" s="8"/>
      <c r="J48" s="1"/>
      <c r="K48" s="1"/>
      <c r="L48" s="1"/>
      <c r="M48" s="1"/>
      <c r="N48" s="1"/>
      <c r="O48" s="1"/>
      <c r="P48" s="1"/>
      <c r="Q48" s="42"/>
      <c r="Y48" s="35"/>
      <c r="Z48" s="8"/>
      <c r="AA48" s="8"/>
    </row>
    <row r="49" spans="1:27" x14ac:dyDescent="0.3">
      <c r="I49" s="63"/>
      <c r="J49" s="64"/>
      <c r="K49" s="64"/>
      <c r="L49" s="64"/>
      <c r="M49" s="64"/>
      <c r="N49" s="64"/>
      <c r="O49" s="64"/>
      <c r="P49" s="64"/>
      <c r="Q49" s="65"/>
      <c r="R49" s="65"/>
      <c r="S49" s="65"/>
      <c r="T49" s="65"/>
      <c r="U49" s="64"/>
      <c r="V49" s="64"/>
      <c r="W49" s="64"/>
      <c r="X49" s="64"/>
      <c r="Y49" s="66"/>
      <c r="Z49" s="8"/>
      <c r="AA49" s="8"/>
    </row>
    <row r="50" spans="1:27" x14ac:dyDescent="0.3">
      <c r="A50" s="35"/>
      <c r="I50" s="67"/>
      <c r="J50" s="165" t="s">
        <v>72</v>
      </c>
      <c r="K50" s="165"/>
      <c r="L50" s="165"/>
      <c r="M50" s="165"/>
      <c r="N50" s="165"/>
      <c r="O50" s="165"/>
      <c r="P50" s="165"/>
      <c r="Q50" s="49"/>
      <c r="R50" s="164" t="s">
        <v>71</v>
      </c>
      <c r="S50" s="164"/>
      <c r="T50" s="164"/>
      <c r="U50" s="164"/>
      <c r="V50" s="164"/>
      <c r="W50" s="164"/>
      <c r="X50" s="164"/>
      <c r="Y50" s="68"/>
      <c r="Z50" s="8"/>
      <c r="AA50" s="8"/>
    </row>
    <row r="51" spans="1:27" x14ac:dyDescent="0.3">
      <c r="I51" s="67"/>
      <c r="J51" s="48"/>
      <c r="K51" s="48"/>
      <c r="L51" s="48"/>
      <c r="M51" s="48"/>
      <c r="N51" s="48"/>
      <c r="O51" s="48"/>
      <c r="P51" s="48"/>
      <c r="Q51" s="49"/>
      <c r="R51" s="49"/>
      <c r="S51" s="49"/>
      <c r="T51" s="49"/>
      <c r="U51" s="48"/>
      <c r="V51" s="48"/>
      <c r="W51" s="48"/>
      <c r="X51" s="48"/>
      <c r="Y51" s="68"/>
      <c r="Z51" s="8"/>
      <c r="AA51" s="8"/>
    </row>
    <row r="52" spans="1:27" x14ac:dyDescent="0.3">
      <c r="I52" s="67"/>
      <c r="J52" s="48" t="s">
        <v>64</v>
      </c>
      <c r="K52" s="48" t="s">
        <v>69</v>
      </c>
      <c r="L52" s="48" t="s">
        <v>68</v>
      </c>
      <c r="M52" s="48" t="s">
        <v>66</v>
      </c>
      <c r="N52" s="50" t="s">
        <v>70</v>
      </c>
      <c r="O52" s="48" t="s">
        <v>65</v>
      </c>
      <c r="P52" s="49" t="s">
        <v>67</v>
      </c>
      <c r="Q52" s="50" t="s">
        <v>59</v>
      </c>
      <c r="R52" s="49" t="s">
        <v>67</v>
      </c>
      <c r="S52" s="48" t="s">
        <v>65</v>
      </c>
      <c r="T52" s="50" t="s">
        <v>70</v>
      </c>
      <c r="U52" s="48" t="s">
        <v>66</v>
      </c>
      <c r="V52" s="48" t="s">
        <v>68</v>
      </c>
      <c r="W52" s="48" t="s">
        <v>69</v>
      </c>
      <c r="X52" s="48" t="s">
        <v>64</v>
      </c>
      <c r="Y52" s="68"/>
      <c r="Z52" s="8"/>
      <c r="AA52" s="8"/>
    </row>
    <row r="53" spans="1:27" x14ac:dyDescent="0.3">
      <c r="I53" s="67"/>
      <c r="J53" s="112">
        <v>-0.04</v>
      </c>
      <c r="K53" s="112">
        <v>-1.6E-2</v>
      </c>
      <c r="L53" s="112">
        <v>-1.6E-2</v>
      </c>
      <c r="M53" s="112">
        <v>1.6E-2</v>
      </c>
      <c r="N53" s="51"/>
      <c r="O53" s="112">
        <v>-1.6E-2</v>
      </c>
      <c r="P53" s="112">
        <v>-0.04</v>
      </c>
      <c r="Q53" s="53">
        <f>(Q58)-B12</f>
        <v>147399.85</v>
      </c>
      <c r="R53" s="112">
        <v>-0.04</v>
      </c>
      <c r="S53" s="112">
        <v>-1.6E-2</v>
      </c>
      <c r="T53" s="114"/>
      <c r="U53" s="112">
        <v>1.6E-2</v>
      </c>
      <c r="V53" s="112">
        <v>-1.6E-2</v>
      </c>
      <c r="W53" s="112">
        <v>-1.6E-2</v>
      </c>
      <c r="X53" s="112">
        <v>-0.04</v>
      </c>
      <c r="Y53" s="69" t="s">
        <v>63</v>
      </c>
      <c r="Z53" s="8"/>
      <c r="AA53" s="8"/>
    </row>
    <row r="54" spans="1:27" x14ac:dyDescent="0.3">
      <c r="I54" s="67"/>
      <c r="J54" s="112">
        <v>-0.04</v>
      </c>
      <c r="K54" s="112">
        <v>-1.6E-2</v>
      </c>
      <c r="L54" s="112">
        <v>-1.6E-2</v>
      </c>
      <c r="M54" s="112">
        <v>1.6E-2</v>
      </c>
      <c r="N54" s="51"/>
      <c r="O54" s="112">
        <v>-1.6E-2</v>
      </c>
      <c r="P54" s="112">
        <v>-0.04</v>
      </c>
      <c r="Q54" s="55">
        <v>147400</v>
      </c>
      <c r="R54" s="112">
        <v>-0.04</v>
      </c>
      <c r="S54" s="112">
        <v>-1.6E-2</v>
      </c>
      <c r="T54" s="114"/>
      <c r="U54" s="112">
        <v>1.6E-2</v>
      </c>
      <c r="V54" s="113">
        <f>((Q54-$Q$53)/(($B$7)*(24)))+$V$53</f>
        <v>-1.5975000000000971E-2</v>
      </c>
      <c r="W54" s="113">
        <f t="shared" ref="W54:W63" si="0">((Q54-$Q$53)/(($B$7)*(24)))+($W$53)</f>
        <v>-1.5975000000000971E-2</v>
      </c>
      <c r="X54" s="112">
        <v>-0.04</v>
      </c>
      <c r="Y54" s="69"/>
      <c r="Z54" s="8"/>
      <c r="AA54" s="8"/>
    </row>
    <row r="55" spans="1:27" x14ac:dyDescent="0.3">
      <c r="I55" s="67"/>
      <c r="J55" s="112">
        <v>-0.04</v>
      </c>
      <c r="K55" s="112">
        <v>-1.6E-2</v>
      </c>
      <c r="L55" s="112">
        <v>-1.6E-2</v>
      </c>
      <c r="M55" s="112">
        <v>1.6E-2</v>
      </c>
      <c r="N55" s="51"/>
      <c r="O55" s="112">
        <v>-1.6E-2</v>
      </c>
      <c r="P55" s="112">
        <v>-0.04</v>
      </c>
      <c r="Q55" s="55">
        <v>147425</v>
      </c>
      <c r="R55" s="112">
        <v>-0.04</v>
      </c>
      <c r="S55" s="112">
        <v>-1.6E-2</v>
      </c>
      <c r="T55" s="114"/>
      <c r="U55" s="112">
        <v>1.6E-2</v>
      </c>
      <c r="V55" s="113">
        <f t="shared" ref="V55:V63" si="1">((Q55-$Q$53)/(($B$7)*(24)))+$V$53</f>
        <v>-1.1808333333334304E-2</v>
      </c>
      <c r="W55" s="113">
        <f t="shared" si="0"/>
        <v>-1.1808333333334304E-2</v>
      </c>
      <c r="X55" s="112">
        <v>-0.04</v>
      </c>
      <c r="Y55" s="69"/>
      <c r="Z55" s="8"/>
      <c r="AA55" s="8"/>
    </row>
    <row r="56" spans="1:27" x14ac:dyDescent="0.3">
      <c r="I56" s="67"/>
      <c r="J56" s="112">
        <v>-0.04</v>
      </c>
      <c r="K56" s="112">
        <v>-1.6E-2</v>
      </c>
      <c r="L56" s="112">
        <v>-1.6E-2</v>
      </c>
      <c r="M56" s="112">
        <v>1.6E-2</v>
      </c>
      <c r="N56" s="51"/>
      <c r="O56" s="112">
        <v>-1.6E-2</v>
      </c>
      <c r="P56" s="112">
        <v>-0.04</v>
      </c>
      <c r="Q56" s="55">
        <v>147450</v>
      </c>
      <c r="R56" s="112">
        <v>-0.04</v>
      </c>
      <c r="S56" s="112">
        <v>-1.6E-2</v>
      </c>
      <c r="T56" s="114"/>
      <c r="U56" s="112">
        <v>1.6E-2</v>
      </c>
      <c r="V56" s="113">
        <f t="shared" si="1"/>
        <v>-7.6416666666676378E-3</v>
      </c>
      <c r="W56" s="113">
        <f t="shared" si="0"/>
        <v>-7.6416666666676378E-3</v>
      </c>
      <c r="X56" s="112">
        <v>-0.04</v>
      </c>
      <c r="Y56" s="69"/>
      <c r="Z56" s="8"/>
      <c r="AA56" s="8"/>
    </row>
    <row r="57" spans="1:27" x14ac:dyDescent="0.3">
      <c r="I57" s="67"/>
      <c r="J57" s="112">
        <v>-0.04</v>
      </c>
      <c r="K57" s="112">
        <v>-1.6E-2</v>
      </c>
      <c r="L57" s="112">
        <v>-1.6E-2</v>
      </c>
      <c r="M57" s="112">
        <v>1.6E-2</v>
      </c>
      <c r="N57" s="51"/>
      <c r="O57" s="112">
        <v>-1.6E-2</v>
      </c>
      <c r="P57" s="112">
        <v>-0.04</v>
      </c>
      <c r="Q57" s="55">
        <v>147475</v>
      </c>
      <c r="R57" s="112">
        <v>-0.04</v>
      </c>
      <c r="S57" s="112">
        <v>-1.6E-2</v>
      </c>
      <c r="T57" s="114"/>
      <c r="U57" s="112">
        <v>1.6E-2</v>
      </c>
      <c r="V57" s="113">
        <f t="shared" si="1"/>
        <v>-3.4750000000009704E-3</v>
      </c>
      <c r="W57" s="113">
        <f t="shared" si="0"/>
        <v>-3.4750000000009704E-3</v>
      </c>
      <c r="X57" s="112">
        <v>-0.04</v>
      </c>
      <c r="Y57" s="69"/>
      <c r="Z57" s="8"/>
      <c r="AA57" s="8"/>
    </row>
    <row r="58" spans="1:27" x14ac:dyDescent="0.3">
      <c r="I58" s="70" t="s">
        <v>78</v>
      </c>
      <c r="J58" s="112">
        <v>-0.04</v>
      </c>
      <c r="K58" s="112">
        <v>-1.6E-2</v>
      </c>
      <c r="L58" s="112">
        <v>-1.6E-2</v>
      </c>
      <c r="M58" s="112">
        <v>1.6E-2</v>
      </c>
      <c r="N58" s="51"/>
      <c r="O58" s="112">
        <v>-1.6E-2</v>
      </c>
      <c r="P58" s="112">
        <v>-0.04</v>
      </c>
      <c r="Q58" s="53">
        <f>(Q67)-B17</f>
        <v>147495.85</v>
      </c>
      <c r="R58" s="112">
        <v>-0.04</v>
      </c>
      <c r="S58" s="112">
        <v>-1.6E-2</v>
      </c>
      <c r="T58" s="114"/>
      <c r="U58" s="112">
        <v>1.6E-2</v>
      </c>
      <c r="V58" s="113">
        <f t="shared" si="1"/>
        <v>0</v>
      </c>
      <c r="W58" s="113">
        <f t="shared" si="0"/>
        <v>0</v>
      </c>
      <c r="X58" s="112">
        <v>-0.04</v>
      </c>
      <c r="Y58" s="69" t="s">
        <v>77</v>
      </c>
      <c r="Z58" s="8"/>
      <c r="AA58" s="8"/>
    </row>
    <row r="59" spans="1:27" x14ac:dyDescent="0.3">
      <c r="I59" s="67"/>
      <c r="J59" s="112">
        <v>-0.04</v>
      </c>
      <c r="K59" s="112">
        <v>-1.6E-2</v>
      </c>
      <c r="L59" s="112">
        <v>-1.6E-2</v>
      </c>
      <c r="M59" s="113">
        <f t="shared" ref="M59:M63" si="2">((($M$58))-((Q59-$Q$58)/(($B$7)*(12))))</f>
        <v>1.4616666666668608E-2</v>
      </c>
      <c r="N59" s="51"/>
      <c r="O59" s="113">
        <f t="shared" ref="O59:O72" si="3">-M59</f>
        <v>-1.4616666666668608E-2</v>
      </c>
      <c r="P59" s="112">
        <v>-0.04</v>
      </c>
      <c r="Q59" s="55">
        <v>147500</v>
      </c>
      <c r="R59" s="112">
        <v>-0.04</v>
      </c>
      <c r="S59" s="112">
        <v>-1.6E-2</v>
      </c>
      <c r="T59" s="114"/>
      <c r="U59" s="112">
        <v>1.6E-2</v>
      </c>
      <c r="V59" s="113">
        <f t="shared" si="1"/>
        <v>6.9166666666569537E-4</v>
      </c>
      <c r="W59" s="113">
        <f t="shared" si="0"/>
        <v>6.9166666666569537E-4</v>
      </c>
      <c r="X59" s="112">
        <v>-0.04</v>
      </c>
      <c r="Y59" s="69"/>
      <c r="Z59" s="8"/>
      <c r="AA59" s="8"/>
    </row>
    <row r="60" spans="1:27" x14ac:dyDescent="0.3">
      <c r="I60" s="70" t="s">
        <v>77</v>
      </c>
      <c r="J60" s="112">
        <v>-0.04</v>
      </c>
      <c r="K60" s="112">
        <v>-1.6E-2</v>
      </c>
      <c r="L60" s="112">
        <v>-1.6E-2</v>
      </c>
      <c r="M60" s="113">
        <f t="shared" si="2"/>
        <v>0</v>
      </c>
      <c r="N60" s="51"/>
      <c r="O60" s="113">
        <f t="shared" si="3"/>
        <v>0</v>
      </c>
      <c r="P60" s="112">
        <v>-0.04</v>
      </c>
      <c r="Q60" s="53">
        <f>Q58+(B12/2)</f>
        <v>147543.85</v>
      </c>
      <c r="R60" s="112">
        <v>-0.04</v>
      </c>
      <c r="S60" s="112">
        <v>-1.6E-2</v>
      </c>
      <c r="T60" s="114"/>
      <c r="U60" s="112">
        <v>1.6E-2</v>
      </c>
      <c r="V60" s="113">
        <f t="shared" si="1"/>
        <v>8.0000000000000002E-3</v>
      </c>
      <c r="W60" s="113">
        <f t="shared" si="0"/>
        <v>8.0000000000000002E-3</v>
      </c>
      <c r="X60" s="112">
        <v>-0.04</v>
      </c>
      <c r="Y60" s="69"/>
      <c r="Z60" s="8"/>
      <c r="AA60" s="8"/>
    </row>
    <row r="61" spans="1:27" x14ac:dyDescent="0.3">
      <c r="I61" s="67"/>
      <c r="J61" s="112">
        <v>-0.04</v>
      </c>
      <c r="K61" s="112">
        <v>-1.6E-2</v>
      </c>
      <c r="L61" s="112">
        <v>-1.6E-2</v>
      </c>
      <c r="M61" s="113">
        <f t="shared" si="2"/>
        <v>-2.0499999999980603E-3</v>
      </c>
      <c r="N61" s="51"/>
      <c r="O61" s="113">
        <f t="shared" si="3"/>
        <v>2.0499999999980603E-3</v>
      </c>
      <c r="P61" s="112">
        <v>-0.04</v>
      </c>
      <c r="Q61" s="55">
        <v>147550</v>
      </c>
      <c r="R61" s="112">
        <v>-0.04</v>
      </c>
      <c r="S61" s="112">
        <v>-1.6E-2</v>
      </c>
      <c r="T61" s="114"/>
      <c r="U61" s="112">
        <v>1.6E-2</v>
      </c>
      <c r="V61" s="113">
        <f t="shared" si="1"/>
        <v>9.0249999999990303E-3</v>
      </c>
      <c r="W61" s="113">
        <f t="shared" si="0"/>
        <v>9.0249999999990303E-3</v>
      </c>
      <c r="X61" s="112">
        <v>-0.04</v>
      </c>
      <c r="Y61" s="69"/>
      <c r="Z61" s="8"/>
      <c r="AA61" s="8"/>
    </row>
    <row r="62" spans="1:27" x14ac:dyDescent="0.3">
      <c r="I62" s="67"/>
      <c r="J62" s="112">
        <v>-0.04</v>
      </c>
      <c r="K62" s="112">
        <v>-1.6E-2</v>
      </c>
      <c r="L62" s="112">
        <v>-1.6E-2</v>
      </c>
      <c r="M62" s="113">
        <f t="shared" si="2"/>
        <v>-1.0383333333331392E-2</v>
      </c>
      <c r="N62" s="51"/>
      <c r="O62" s="113">
        <f t="shared" si="3"/>
        <v>1.0383333333331392E-2</v>
      </c>
      <c r="P62" s="112">
        <v>-0.04</v>
      </c>
      <c r="Q62" s="55">
        <v>147575</v>
      </c>
      <c r="R62" s="112">
        <v>-0.04</v>
      </c>
      <c r="S62" s="112">
        <v>-1.6E-2</v>
      </c>
      <c r="T62" s="114"/>
      <c r="U62" s="112">
        <v>1.6E-2</v>
      </c>
      <c r="V62" s="113">
        <f t="shared" si="1"/>
        <v>1.3191666666665696E-2</v>
      </c>
      <c r="W62" s="113">
        <f t="shared" si="0"/>
        <v>1.3191666666665696E-2</v>
      </c>
      <c r="X62" s="112">
        <v>-0.04</v>
      </c>
      <c r="Y62" s="69"/>
      <c r="Z62" s="8"/>
      <c r="AA62" s="8"/>
    </row>
    <row r="63" spans="1:27" x14ac:dyDescent="0.3">
      <c r="I63" s="67"/>
      <c r="J63" s="112">
        <v>-0.04</v>
      </c>
      <c r="K63" s="112">
        <v>-1.6E-2</v>
      </c>
      <c r="L63" s="112">
        <v>-1.6E-2</v>
      </c>
      <c r="M63" s="113">
        <f t="shared" si="2"/>
        <v>-1.6E-2</v>
      </c>
      <c r="N63" s="51"/>
      <c r="O63" s="113">
        <f t="shared" si="3"/>
        <v>1.6E-2</v>
      </c>
      <c r="P63" s="112">
        <v>-0.04</v>
      </c>
      <c r="Q63" s="53">
        <f>Q60+(B12/2)</f>
        <v>147591.85</v>
      </c>
      <c r="R63" s="112">
        <v>-0.04</v>
      </c>
      <c r="S63" s="112">
        <v>-1.6E-2</v>
      </c>
      <c r="T63" s="114"/>
      <c r="U63" s="112">
        <v>1.6E-2</v>
      </c>
      <c r="V63" s="113">
        <f t="shared" si="1"/>
        <v>1.6E-2</v>
      </c>
      <c r="W63" s="113">
        <f t="shared" si="0"/>
        <v>1.6E-2</v>
      </c>
      <c r="X63" s="112">
        <v>-0.04</v>
      </c>
      <c r="Y63" s="69"/>
      <c r="Z63" s="8"/>
      <c r="AA63" s="8"/>
    </row>
    <row r="64" spans="1:27" x14ac:dyDescent="0.3">
      <c r="I64" s="67"/>
      <c r="J64" s="112">
        <v>-0.04</v>
      </c>
      <c r="K64" s="113">
        <f t="shared" ref="K64:K72" si="4">$K$63-((Q64-$Q$63)/(($B$7)*(36)))</f>
        <v>-1.690555555555491E-2</v>
      </c>
      <c r="L64" s="113">
        <f t="shared" ref="L64:L72" si="5">$L$63-((Q64-$Q$63)/(($B$7)*(36)))</f>
        <v>-1.690555555555491E-2</v>
      </c>
      <c r="M64" s="113">
        <f t="shared" ref="M64:M72" si="6">$M$63-((Q64-$Q$63)/(($B$7)*(36)))</f>
        <v>-1.690555555555491E-2</v>
      </c>
      <c r="N64" s="51"/>
      <c r="O64" s="113">
        <f t="shared" si="3"/>
        <v>1.690555555555491E-2</v>
      </c>
      <c r="P64" s="112">
        <v>-0.04</v>
      </c>
      <c r="Q64" s="55">
        <v>147600</v>
      </c>
      <c r="R64" s="112">
        <v>-0.04</v>
      </c>
      <c r="S64" s="113">
        <f>-U64</f>
        <v>-1.690555555555491E-2</v>
      </c>
      <c r="T64" s="114"/>
      <c r="U64" s="113">
        <f t="shared" ref="U64:U72" si="7">$U$63+((Q64-$Q$63)/(($B$7)*(36)))</f>
        <v>1.690555555555491E-2</v>
      </c>
      <c r="V64" s="113">
        <f>$V$63+((Q64-$Q$63)/(($B$7)*(36)))</f>
        <v>1.690555555555491E-2</v>
      </c>
      <c r="W64" s="113">
        <f t="shared" ref="W64:W72" si="8">$W$63+((Q64-$Q$63)/(($B$7)*(36)))</f>
        <v>1.690555555555491E-2</v>
      </c>
      <c r="X64" s="112">
        <v>-0.04</v>
      </c>
      <c r="Y64" s="69"/>
      <c r="Z64" s="8"/>
      <c r="AA64" s="8"/>
    </row>
    <row r="65" spans="1:27" x14ac:dyDescent="0.3">
      <c r="I65" s="67"/>
      <c r="J65" s="112">
        <v>-0.04</v>
      </c>
      <c r="K65" s="113">
        <f t="shared" si="4"/>
        <v>-1.9683333333332685E-2</v>
      </c>
      <c r="L65" s="113">
        <f t="shared" si="5"/>
        <v>-1.9683333333332685E-2</v>
      </c>
      <c r="M65" s="113">
        <f t="shared" si="6"/>
        <v>-1.9683333333332685E-2</v>
      </c>
      <c r="N65" s="51"/>
      <c r="O65" s="113">
        <f t="shared" si="3"/>
        <v>1.9683333333332685E-2</v>
      </c>
      <c r="P65" s="112">
        <v>-0.04</v>
      </c>
      <c r="Q65" s="55">
        <v>147625</v>
      </c>
      <c r="R65" s="112">
        <v>-0.04</v>
      </c>
      <c r="S65" s="113">
        <f t="shared" ref="S65:S72" si="9">-U65</f>
        <v>-1.9683333333332685E-2</v>
      </c>
      <c r="T65" s="114"/>
      <c r="U65" s="113">
        <f t="shared" si="7"/>
        <v>1.9683333333332685E-2</v>
      </c>
      <c r="V65" s="113">
        <f t="shared" ref="V65:V72" si="10">$V$63+((Q65-$Q$63)/(($B$7)*(36)))</f>
        <v>1.9683333333332685E-2</v>
      </c>
      <c r="W65" s="113">
        <f t="shared" si="8"/>
        <v>1.9683333333332685E-2</v>
      </c>
      <c r="X65" s="112">
        <v>-0.04</v>
      </c>
      <c r="Y65" s="69"/>
      <c r="Z65" s="8"/>
      <c r="AA65" s="8"/>
    </row>
    <row r="66" spans="1:27" x14ac:dyDescent="0.3">
      <c r="I66" s="67"/>
      <c r="J66" s="112">
        <v>-0.04</v>
      </c>
      <c r="K66" s="113">
        <f t="shared" si="4"/>
        <v>-2.2461111111110463E-2</v>
      </c>
      <c r="L66" s="113">
        <f t="shared" si="5"/>
        <v>-2.2461111111110463E-2</v>
      </c>
      <c r="M66" s="113">
        <f t="shared" si="6"/>
        <v>-2.2461111111110463E-2</v>
      </c>
      <c r="N66" s="51"/>
      <c r="O66" s="113">
        <f t="shared" si="3"/>
        <v>2.2461111111110463E-2</v>
      </c>
      <c r="P66" s="112">
        <v>-0.04</v>
      </c>
      <c r="Q66" s="55">
        <v>147650</v>
      </c>
      <c r="R66" s="112">
        <v>-0.04</v>
      </c>
      <c r="S66" s="113">
        <f t="shared" si="9"/>
        <v>-2.2461111111110463E-2</v>
      </c>
      <c r="T66" s="114"/>
      <c r="U66" s="113">
        <f t="shared" si="7"/>
        <v>2.2461111111110463E-2</v>
      </c>
      <c r="V66" s="113">
        <f t="shared" si="10"/>
        <v>2.2461111111110463E-2</v>
      </c>
      <c r="W66" s="113">
        <f t="shared" si="8"/>
        <v>2.2461111111110463E-2</v>
      </c>
      <c r="X66" s="112">
        <v>-0.04</v>
      </c>
      <c r="Y66" s="69"/>
      <c r="Z66" s="8"/>
      <c r="AA66" s="8"/>
    </row>
    <row r="67" spans="1:27" x14ac:dyDescent="0.3">
      <c r="I67" s="71" t="s">
        <v>43</v>
      </c>
      <c r="J67" s="112">
        <v>-0.04</v>
      </c>
      <c r="K67" s="113">
        <f t="shared" si="4"/>
        <v>-2.377777777777778E-2</v>
      </c>
      <c r="L67" s="113">
        <f t="shared" si="5"/>
        <v>-2.377777777777778E-2</v>
      </c>
      <c r="M67" s="113">
        <f t="shared" si="6"/>
        <v>-2.377777777777778E-2</v>
      </c>
      <c r="N67" s="51"/>
      <c r="O67" s="113">
        <f t="shared" si="3"/>
        <v>2.377777777777778E-2</v>
      </c>
      <c r="P67" s="115">
        <v>-0.04</v>
      </c>
      <c r="Q67" s="53">
        <f>B3</f>
        <v>147661.85</v>
      </c>
      <c r="R67" s="112">
        <v>-0.04</v>
      </c>
      <c r="S67" s="113">
        <f t="shared" si="9"/>
        <v>-2.377777777777778E-2</v>
      </c>
      <c r="T67" s="114"/>
      <c r="U67" s="113">
        <f t="shared" si="7"/>
        <v>2.377777777777778E-2</v>
      </c>
      <c r="V67" s="113">
        <f t="shared" si="10"/>
        <v>2.377777777777778E-2</v>
      </c>
      <c r="W67" s="113">
        <f t="shared" si="8"/>
        <v>2.377777777777778E-2</v>
      </c>
      <c r="X67" s="112">
        <v>-0.04</v>
      </c>
      <c r="Y67" s="69" t="s">
        <v>43</v>
      </c>
      <c r="Z67" s="8"/>
      <c r="AA67" s="8"/>
    </row>
    <row r="68" spans="1:27" x14ac:dyDescent="0.3">
      <c r="I68" s="67"/>
      <c r="J68" s="112">
        <v>-0.04</v>
      </c>
      <c r="K68" s="113">
        <f t="shared" si="4"/>
        <v>-2.5238888888888242E-2</v>
      </c>
      <c r="L68" s="113">
        <f t="shared" si="5"/>
        <v>-2.5238888888888242E-2</v>
      </c>
      <c r="M68" s="113">
        <f t="shared" si="6"/>
        <v>-2.5238888888888242E-2</v>
      </c>
      <c r="N68" s="51"/>
      <c r="O68" s="113">
        <f t="shared" si="3"/>
        <v>2.5238888888888242E-2</v>
      </c>
      <c r="P68" s="115">
        <v>-0.04</v>
      </c>
      <c r="Q68" s="55">
        <v>147675</v>
      </c>
      <c r="R68" s="112">
        <v>-0.04</v>
      </c>
      <c r="S68" s="113">
        <f t="shared" si="9"/>
        <v>-2.5238888888888242E-2</v>
      </c>
      <c r="T68" s="114"/>
      <c r="U68" s="113">
        <f t="shared" si="7"/>
        <v>2.5238888888888242E-2</v>
      </c>
      <c r="V68" s="113">
        <f t="shared" si="10"/>
        <v>2.5238888888888242E-2</v>
      </c>
      <c r="W68" s="113">
        <f t="shared" si="8"/>
        <v>2.5238888888888242E-2</v>
      </c>
      <c r="X68" s="112">
        <v>-0.04</v>
      </c>
      <c r="Y68" s="69"/>
      <c r="Z68" s="8"/>
      <c r="AA68" s="8"/>
    </row>
    <row r="69" spans="1:27" x14ac:dyDescent="0.3">
      <c r="I69" s="67"/>
      <c r="J69" s="112">
        <v>-0.04</v>
      </c>
      <c r="K69" s="113">
        <f t="shared" si="4"/>
        <v>-2.801666666666602E-2</v>
      </c>
      <c r="L69" s="113">
        <f t="shared" si="5"/>
        <v>-2.801666666666602E-2</v>
      </c>
      <c r="M69" s="113">
        <f t="shared" si="6"/>
        <v>-2.801666666666602E-2</v>
      </c>
      <c r="N69" s="51"/>
      <c r="O69" s="113">
        <f t="shared" si="3"/>
        <v>2.801666666666602E-2</v>
      </c>
      <c r="P69" s="115">
        <v>-0.04</v>
      </c>
      <c r="Q69" s="55">
        <v>147700</v>
      </c>
      <c r="R69" s="112">
        <v>-0.04</v>
      </c>
      <c r="S69" s="113">
        <f t="shared" si="9"/>
        <v>-2.801666666666602E-2</v>
      </c>
      <c r="T69" s="114"/>
      <c r="U69" s="113">
        <f t="shared" si="7"/>
        <v>2.801666666666602E-2</v>
      </c>
      <c r="V69" s="113">
        <f t="shared" si="10"/>
        <v>2.801666666666602E-2</v>
      </c>
      <c r="W69" s="113">
        <f t="shared" si="8"/>
        <v>2.801666666666602E-2</v>
      </c>
      <c r="X69" s="112">
        <v>-0.04</v>
      </c>
      <c r="Y69" s="69"/>
      <c r="Z69" s="8"/>
      <c r="AA69" s="8"/>
    </row>
    <row r="70" spans="1:27" x14ac:dyDescent="0.3">
      <c r="I70" s="67"/>
      <c r="J70" s="112">
        <v>-0.04</v>
      </c>
      <c r="K70" s="113">
        <f t="shared" si="4"/>
        <v>-0.03</v>
      </c>
      <c r="L70" s="113">
        <f t="shared" si="5"/>
        <v>-0.03</v>
      </c>
      <c r="M70" s="113">
        <f t="shared" si="6"/>
        <v>-0.03</v>
      </c>
      <c r="N70" s="51"/>
      <c r="O70" s="113">
        <f t="shared" si="3"/>
        <v>0.03</v>
      </c>
      <c r="P70" s="113">
        <v>-0.04</v>
      </c>
      <c r="Q70" s="53">
        <f>Q63+126</f>
        <v>147717.85</v>
      </c>
      <c r="R70" s="112">
        <v>-0.04</v>
      </c>
      <c r="S70" s="113">
        <f t="shared" si="9"/>
        <v>-0.03</v>
      </c>
      <c r="T70" s="114"/>
      <c r="U70" s="113">
        <f t="shared" si="7"/>
        <v>0.03</v>
      </c>
      <c r="V70" s="113">
        <f t="shared" si="10"/>
        <v>0.03</v>
      </c>
      <c r="W70" s="113">
        <f t="shared" si="8"/>
        <v>0.03</v>
      </c>
      <c r="X70" s="112">
        <v>-0.04</v>
      </c>
      <c r="Y70" s="69" t="s">
        <v>82</v>
      </c>
      <c r="Z70" s="8"/>
      <c r="AA70" s="8"/>
    </row>
    <row r="71" spans="1:27" x14ac:dyDescent="0.3">
      <c r="I71" s="67"/>
      <c r="J71" s="112">
        <v>-0.04</v>
      </c>
      <c r="K71" s="113">
        <f t="shared" si="4"/>
        <v>-3.0794444444443798E-2</v>
      </c>
      <c r="L71" s="113">
        <f t="shared" si="5"/>
        <v>-3.0794444444443798E-2</v>
      </c>
      <c r="M71" s="113">
        <f t="shared" si="6"/>
        <v>-3.0794444444443798E-2</v>
      </c>
      <c r="N71" s="51" t="s">
        <v>143</v>
      </c>
      <c r="O71" s="113">
        <f t="shared" si="3"/>
        <v>3.0794444444443798E-2</v>
      </c>
      <c r="P71" s="113">
        <v>-0.04</v>
      </c>
      <c r="Q71" s="55">
        <v>147725</v>
      </c>
      <c r="R71" s="112">
        <v>-0.04</v>
      </c>
      <c r="S71" s="113">
        <f t="shared" si="9"/>
        <v>-3.0794444444443798E-2</v>
      </c>
      <c r="T71" s="114"/>
      <c r="U71" s="113">
        <f t="shared" si="7"/>
        <v>3.0794444444443798E-2</v>
      </c>
      <c r="V71" s="113">
        <f t="shared" si="10"/>
        <v>3.0794444444443798E-2</v>
      </c>
      <c r="W71" s="113">
        <f t="shared" si="8"/>
        <v>3.0794444444443798E-2</v>
      </c>
      <c r="X71" s="113">
        <f>-0.07+W71</f>
        <v>-3.9205555555556208E-2</v>
      </c>
      <c r="Y71" s="69"/>
      <c r="Z71" s="8"/>
      <c r="AA71" s="8"/>
    </row>
    <row r="72" spans="1:27" x14ac:dyDescent="0.3">
      <c r="I72" s="70" t="s">
        <v>79</v>
      </c>
      <c r="J72" s="112">
        <v>-0.04</v>
      </c>
      <c r="K72" s="113">
        <f t="shared" si="4"/>
        <v>-3.3000000000000002E-2</v>
      </c>
      <c r="L72" s="113">
        <f t="shared" si="5"/>
        <v>-3.3000000000000002E-2</v>
      </c>
      <c r="M72" s="113">
        <f t="shared" si="6"/>
        <v>-3.3000000000000002E-2</v>
      </c>
      <c r="N72" s="51" t="s">
        <v>143</v>
      </c>
      <c r="O72" s="113">
        <f t="shared" si="3"/>
        <v>3.3000000000000002E-2</v>
      </c>
      <c r="P72" s="113">
        <v>-0.04</v>
      </c>
      <c r="Q72" s="53">
        <f>Q67+(B18)</f>
        <v>147744.85</v>
      </c>
      <c r="R72" s="112">
        <v>-0.04</v>
      </c>
      <c r="S72" s="113">
        <f t="shared" si="9"/>
        <v>-3.3000000000000002E-2</v>
      </c>
      <c r="T72" s="114"/>
      <c r="U72" s="113">
        <f t="shared" si="7"/>
        <v>3.3000000000000002E-2</v>
      </c>
      <c r="V72" s="113">
        <f t="shared" si="10"/>
        <v>3.3000000000000002E-2</v>
      </c>
      <c r="W72" s="113">
        <f t="shared" si="8"/>
        <v>3.3000000000000002E-2</v>
      </c>
      <c r="X72" s="113">
        <f>-0.07+W72</f>
        <v>-3.7000000000000005E-2</v>
      </c>
      <c r="Y72" s="69" t="s">
        <v>79</v>
      </c>
      <c r="Z72" s="8"/>
      <c r="AA72" s="8"/>
    </row>
    <row r="73" spans="1:27" x14ac:dyDescent="0.3">
      <c r="I73" s="67"/>
      <c r="J73" s="112">
        <f t="shared" ref="J73:M75" si="11">J72</f>
        <v>-0.04</v>
      </c>
      <c r="K73" s="112">
        <f t="shared" si="11"/>
        <v>-3.3000000000000002E-2</v>
      </c>
      <c r="L73" s="112">
        <f t="shared" si="11"/>
        <v>-3.3000000000000002E-2</v>
      </c>
      <c r="M73" s="112">
        <f t="shared" si="11"/>
        <v>-3.3000000000000002E-2</v>
      </c>
      <c r="N73" s="51"/>
      <c r="O73" s="112">
        <f t="shared" ref="O73:P75" si="12">O72</f>
        <v>3.3000000000000002E-2</v>
      </c>
      <c r="P73" s="112">
        <f t="shared" si="12"/>
        <v>-0.04</v>
      </c>
      <c r="Q73" s="55">
        <v>147750</v>
      </c>
      <c r="R73" s="112">
        <v>-0.04</v>
      </c>
      <c r="S73" s="112">
        <v>-3.3000000000000002E-2</v>
      </c>
      <c r="T73" s="114"/>
      <c r="U73" s="112">
        <v>3.3000000000000002E-2</v>
      </c>
      <c r="V73" s="112">
        <v>3.3000000000000002E-2</v>
      </c>
      <c r="W73" s="112">
        <v>3.3000000000000002E-2</v>
      </c>
      <c r="X73" s="112">
        <v>-3.6999999999999998E-2</v>
      </c>
      <c r="Y73" s="69"/>
      <c r="Z73" s="8"/>
      <c r="AA73" s="8"/>
    </row>
    <row r="74" spans="1:27" x14ac:dyDescent="0.3">
      <c r="I74" s="67"/>
      <c r="J74" s="112">
        <f t="shared" si="11"/>
        <v>-0.04</v>
      </c>
      <c r="K74" s="112">
        <f t="shared" si="11"/>
        <v>-3.3000000000000002E-2</v>
      </c>
      <c r="L74" s="112">
        <f t="shared" si="11"/>
        <v>-3.3000000000000002E-2</v>
      </c>
      <c r="M74" s="112">
        <f t="shared" si="11"/>
        <v>-3.3000000000000002E-2</v>
      </c>
      <c r="N74" s="51"/>
      <c r="O74" s="112">
        <f t="shared" si="12"/>
        <v>3.3000000000000002E-2</v>
      </c>
      <c r="P74" s="112">
        <f t="shared" si="12"/>
        <v>-0.04</v>
      </c>
      <c r="Q74" s="55">
        <v>147775</v>
      </c>
      <c r="R74" s="112">
        <v>-0.04</v>
      </c>
      <c r="S74" s="112">
        <v>-3.3000000000000002E-2</v>
      </c>
      <c r="T74" s="114"/>
      <c r="U74" s="112">
        <v>3.3000000000000002E-2</v>
      </c>
      <c r="V74" s="112">
        <v>3.3000000000000002E-2</v>
      </c>
      <c r="W74" s="112">
        <v>3.3000000000000002E-2</v>
      </c>
      <c r="X74" s="112">
        <v>-3.6999999999999998E-2</v>
      </c>
      <c r="Y74" s="69"/>
      <c r="Z74" s="8"/>
      <c r="AA74" s="8"/>
    </row>
    <row r="75" spans="1:27" x14ac:dyDescent="0.3">
      <c r="I75" s="67"/>
      <c r="J75" s="112">
        <f t="shared" si="11"/>
        <v>-0.04</v>
      </c>
      <c r="K75" s="112">
        <f t="shared" si="11"/>
        <v>-3.3000000000000002E-2</v>
      </c>
      <c r="L75" s="112">
        <f t="shared" si="11"/>
        <v>-3.3000000000000002E-2</v>
      </c>
      <c r="M75" s="112">
        <f t="shared" si="11"/>
        <v>-3.3000000000000002E-2</v>
      </c>
      <c r="N75" s="51"/>
      <c r="O75" s="112">
        <f t="shared" si="12"/>
        <v>3.3000000000000002E-2</v>
      </c>
      <c r="P75" s="112">
        <f t="shared" si="12"/>
        <v>-0.04</v>
      </c>
      <c r="Q75" s="55">
        <v>147800</v>
      </c>
      <c r="R75" s="112">
        <v>-0.04</v>
      </c>
      <c r="S75" s="112">
        <v>-3.3000000000000002E-2</v>
      </c>
      <c r="T75" s="114"/>
      <c r="U75" s="112">
        <v>3.3000000000000002E-2</v>
      </c>
      <c r="V75" s="112">
        <v>3.3000000000000002E-2</v>
      </c>
      <c r="W75" s="112">
        <v>3.3000000000000002E-2</v>
      </c>
      <c r="X75" s="112">
        <v>-3.6999999999999998E-2</v>
      </c>
      <c r="Y75" s="69"/>
      <c r="Z75" s="8"/>
      <c r="AA75" s="8"/>
    </row>
    <row r="76" spans="1:27" x14ac:dyDescent="0.3">
      <c r="I76" s="67"/>
      <c r="J76" s="166" t="s">
        <v>76</v>
      </c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69"/>
      <c r="Z76" s="8"/>
      <c r="AA76" s="8"/>
    </row>
    <row r="77" spans="1:27" x14ac:dyDescent="0.3">
      <c r="I77" s="67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69"/>
      <c r="Z77" s="8"/>
      <c r="AA77" s="8"/>
    </row>
    <row r="78" spans="1:27" ht="52.2" customHeight="1" x14ac:dyDescent="0.3">
      <c r="I78" s="67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69"/>
      <c r="Z78" s="8"/>
      <c r="AA78" s="8"/>
    </row>
    <row r="79" spans="1:27" ht="14.4" customHeight="1" x14ac:dyDescent="0.3">
      <c r="I79" s="67"/>
      <c r="J79" s="112">
        <v>-0.04</v>
      </c>
      <c r="K79" s="112">
        <v>-3.3000000000000002E-2</v>
      </c>
      <c r="L79" s="112">
        <v>-3.3000000000000002E-2</v>
      </c>
      <c r="M79" s="112">
        <v>-3.3000000000000002E-2</v>
      </c>
      <c r="N79" s="51"/>
      <c r="O79" s="112">
        <f>-M79</f>
        <v>3.3000000000000002E-2</v>
      </c>
      <c r="P79" s="112">
        <v>-0.04</v>
      </c>
      <c r="Q79" s="50">
        <v>149300</v>
      </c>
      <c r="R79" s="112">
        <v>-0.04</v>
      </c>
      <c r="S79" s="112">
        <f>-U79</f>
        <v>-3.3000000000000002E-2</v>
      </c>
      <c r="T79" s="51"/>
      <c r="U79" s="112">
        <v>3.3000000000000002E-2</v>
      </c>
      <c r="V79" s="112">
        <v>3.3000000000000002E-2</v>
      </c>
      <c r="W79" s="112">
        <v>3.3000000000000002E-2</v>
      </c>
      <c r="X79" s="115">
        <f t="shared" ref="X79:X82" si="13">-0.07+W79</f>
        <v>-3.7000000000000005E-2</v>
      </c>
      <c r="Y79" s="69"/>
      <c r="Z79" s="8"/>
      <c r="AA79" s="8"/>
    </row>
    <row r="80" spans="1:27" s="45" customFormat="1" ht="14.4" customHeight="1" x14ac:dyDescent="0.3">
      <c r="A80" s="35"/>
      <c r="B80" s="35"/>
      <c r="C80" s="35"/>
      <c r="D80" s="35"/>
      <c r="E80" s="35"/>
      <c r="F80" s="35"/>
      <c r="G80" s="35"/>
      <c r="H80" s="35"/>
      <c r="I80" s="70"/>
      <c r="J80" s="112">
        <v>-0.04</v>
      </c>
      <c r="K80" s="112">
        <v>-3.3000000000000002E-2</v>
      </c>
      <c r="L80" s="112">
        <v>-3.3000000000000002E-2</v>
      </c>
      <c r="M80" s="112">
        <v>-3.3000000000000002E-2</v>
      </c>
      <c r="N80" s="51"/>
      <c r="O80" s="112">
        <f t="shared" ref="O80:O82" si="14">-M80</f>
        <v>3.3000000000000002E-2</v>
      </c>
      <c r="P80" s="112">
        <v>-0.04</v>
      </c>
      <c r="Q80" s="50">
        <v>149325</v>
      </c>
      <c r="R80" s="112">
        <v>-0.04</v>
      </c>
      <c r="S80" s="112">
        <f t="shared" ref="S80:S82" si="15">-U80</f>
        <v>-3.3000000000000002E-2</v>
      </c>
      <c r="T80" s="51"/>
      <c r="U80" s="112">
        <v>3.3000000000000002E-2</v>
      </c>
      <c r="V80" s="112">
        <v>3.3000000000000002E-2</v>
      </c>
      <c r="W80" s="112">
        <v>3.3000000000000002E-2</v>
      </c>
      <c r="X80" s="115">
        <f t="shared" si="13"/>
        <v>-3.7000000000000005E-2</v>
      </c>
      <c r="Y80" s="69"/>
      <c r="Z80" s="35"/>
      <c r="AA80" s="35"/>
    </row>
    <row r="81" spans="1:27" s="45" customFormat="1" x14ac:dyDescent="0.3">
      <c r="A81" s="35"/>
      <c r="B81" s="35"/>
      <c r="C81" s="35"/>
      <c r="D81" s="35"/>
      <c r="E81" s="35"/>
      <c r="F81" s="35"/>
      <c r="G81" s="35"/>
      <c r="H81" s="35"/>
      <c r="I81" s="70"/>
      <c r="J81" s="112">
        <v>-0.04</v>
      </c>
      <c r="K81" s="112">
        <v>-3.3000000000000002E-2</v>
      </c>
      <c r="L81" s="112">
        <v>-3.3000000000000002E-2</v>
      </c>
      <c r="M81" s="112">
        <v>-3.3000000000000002E-2</v>
      </c>
      <c r="N81" s="51"/>
      <c r="O81" s="112">
        <f t="shared" si="14"/>
        <v>3.3000000000000002E-2</v>
      </c>
      <c r="P81" s="112">
        <v>-0.04</v>
      </c>
      <c r="Q81" s="55">
        <v>149350</v>
      </c>
      <c r="R81" s="112">
        <v>-0.04</v>
      </c>
      <c r="S81" s="112">
        <f t="shared" si="15"/>
        <v>-3.3000000000000002E-2</v>
      </c>
      <c r="T81" s="51"/>
      <c r="U81" s="112">
        <v>3.3000000000000002E-2</v>
      </c>
      <c r="V81" s="112">
        <v>3.3000000000000002E-2</v>
      </c>
      <c r="W81" s="112">
        <v>3.3000000000000002E-2</v>
      </c>
      <c r="X81" s="115">
        <f t="shared" si="13"/>
        <v>-3.7000000000000005E-2</v>
      </c>
      <c r="Y81" s="69"/>
      <c r="Z81" s="35"/>
      <c r="AA81" s="35"/>
    </row>
    <row r="82" spans="1:27" x14ac:dyDescent="0.3">
      <c r="I82" s="70" t="s">
        <v>80</v>
      </c>
      <c r="J82" s="112">
        <v>-0.04</v>
      </c>
      <c r="K82" s="112">
        <v>-3.3000000000000002E-2</v>
      </c>
      <c r="L82" s="112">
        <v>-3.3000000000000002E-2</v>
      </c>
      <c r="M82" s="112">
        <v>-3.3000000000000002E-2</v>
      </c>
      <c r="N82" s="51"/>
      <c r="O82" s="112">
        <f t="shared" si="14"/>
        <v>3.3000000000000002E-2</v>
      </c>
      <c r="P82" s="112">
        <v>-0.04</v>
      </c>
      <c r="Q82" s="53">
        <f>Q87-B18</f>
        <v>149353.71</v>
      </c>
      <c r="R82" s="112">
        <v>-0.04</v>
      </c>
      <c r="S82" s="112">
        <f t="shared" si="15"/>
        <v>-3.3000000000000002E-2</v>
      </c>
      <c r="T82" s="51"/>
      <c r="U82" s="112">
        <v>3.3000000000000002E-2</v>
      </c>
      <c r="V82" s="112">
        <v>3.3000000000000002E-2</v>
      </c>
      <c r="W82" s="112">
        <v>3.3000000000000002E-2</v>
      </c>
      <c r="X82" s="115">
        <f t="shared" si="13"/>
        <v>-3.7000000000000005E-2</v>
      </c>
      <c r="Y82" s="68" t="s">
        <v>80</v>
      </c>
      <c r="Z82" s="8"/>
      <c r="AA82" s="8"/>
    </row>
    <row r="83" spans="1:27" x14ac:dyDescent="0.3">
      <c r="I83" s="70"/>
      <c r="J83" s="112">
        <v>-0.04</v>
      </c>
      <c r="K83" s="113">
        <f t="shared" ref="K83:K91" si="16">$K$82+((Q83-$Q$82)/(($B$7)*(36)))</f>
        <v>-3.0634444444443541E-2</v>
      </c>
      <c r="L83" s="113">
        <f t="shared" ref="L83:L91" si="17">$L$82+((Q83-$Q$82)/(($B$7)*(36)))</f>
        <v>-3.0634444444443541E-2</v>
      </c>
      <c r="M83" s="113">
        <f t="shared" ref="M83:M91" si="18">$M$82+((Q83-$Q$82)/(($B$7)*(36)))</f>
        <v>-3.0634444444443541E-2</v>
      </c>
      <c r="N83" s="51" t="s">
        <v>143</v>
      </c>
      <c r="O83" s="113">
        <f>-M83</f>
        <v>3.0634444444443541E-2</v>
      </c>
      <c r="P83" s="113">
        <v>-0.04</v>
      </c>
      <c r="Q83" s="55">
        <v>149375</v>
      </c>
      <c r="R83" s="112">
        <v>-0.04</v>
      </c>
      <c r="S83" s="113">
        <f>-U83</f>
        <v>-3.0634444444443541E-2</v>
      </c>
      <c r="T83" s="51"/>
      <c r="U83" s="113">
        <f t="shared" ref="U83:U91" si="19">$U$82-((Q83-$Q$82)/(($B$7)*(36)))</f>
        <v>3.0634444444443541E-2</v>
      </c>
      <c r="V83" s="113">
        <f t="shared" ref="V83:V91" si="20">$V$82-((Q83-$Q$82)/(($B$7)*(36)))</f>
        <v>3.0634444444443541E-2</v>
      </c>
      <c r="W83" s="113">
        <f t="shared" ref="W83:W91" si="21">$W$82-((Q83-$Q$82)/(($B$7)*(36)))</f>
        <v>3.0634444444443541E-2</v>
      </c>
      <c r="X83" s="113">
        <f t="shared" ref="X83:X84" si="22">-0.07+W83</f>
        <v>-3.9365555555556465E-2</v>
      </c>
      <c r="Y83" s="68"/>
      <c r="Z83" s="8"/>
      <c r="AA83" s="8"/>
    </row>
    <row r="84" spans="1:27" x14ac:dyDescent="0.3">
      <c r="I84" s="70"/>
      <c r="J84" s="112">
        <v>-0.04</v>
      </c>
      <c r="K84" s="113">
        <f t="shared" si="16"/>
        <v>-3.0000000000000002E-2</v>
      </c>
      <c r="L84" s="113">
        <f t="shared" si="17"/>
        <v>-3.0000000000000002E-2</v>
      </c>
      <c r="M84" s="113">
        <f t="shared" si="18"/>
        <v>-3.0000000000000002E-2</v>
      </c>
      <c r="N84" s="51" t="s">
        <v>143</v>
      </c>
      <c r="O84" s="113">
        <f>-M84</f>
        <v>3.0000000000000002E-2</v>
      </c>
      <c r="P84" s="113">
        <v>-0.04</v>
      </c>
      <c r="Q84" s="53">
        <f>Q82+27</f>
        <v>149380.71</v>
      </c>
      <c r="R84" s="112">
        <v>-0.04</v>
      </c>
      <c r="S84" s="113">
        <f>-U84</f>
        <v>-3.0000000000000002E-2</v>
      </c>
      <c r="T84" s="51"/>
      <c r="U84" s="113">
        <f t="shared" si="19"/>
        <v>3.0000000000000002E-2</v>
      </c>
      <c r="V84" s="113">
        <f t="shared" si="20"/>
        <v>3.0000000000000002E-2</v>
      </c>
      <c r="W84" s="113">
        <f t="shared" si="21"/>
        <v>3.0000000000000002E-2</v>
      </c>
      <c r="X84" s="113">
        <f t="shared" si="22"/>
        <v>-4.0000000000000008E-2</v>
      </c>
      <c r="Y84" s="68"/>
      <c r="Z84" s="8"/>
      <c r="AA84" s="8"/>
    </row>
    <row r="85" spans="1:27" x14ac:dyDescent="0.3">
      <c r="I85" s="70"/>
      <c r="J85" s="112">
        <v>-0.04</v>
      </c>
      <c r="K85" s="113">
        <f t="shared" si="16"/>
        <v>-2.7856666666665763E-2</v>
      </c>
      <c r="L85" s="113">
        <f t="shared" si="17"/>
        <v>-2.7856666666665763E-2</v>
      </c>
      <c r="M85" s="113">
        <f t="shared" si="18"/>
        <v>-2.7856666666665763E-2</v>
      </c>
      <c r="N85" s="51"/>
      <c r="O85" s="113">
        <f>-M85</f>
        <v>2.7856666666665763E-2</v>
      </c>
      <c r="P85" s="115">
        <v>-0.04</v>
      </c>
      <c r="Q85" s="55">
        <v>149400</v>
      </c>
      <c r="R85" s="115">
        <v>-0.04</v>
      </c>
      <c r="S85" s="113">
        <f t="shared" ref="S85:S89" si="23">-U85</f>
        <v>-2.7856666666665763E-2</v>
      </c>
      <c r="T85" s="51"/>
      <c r="U85" s="113">
        <f t="shared" si="19"/>
        <v>2.7856666666665763E-2</v>
      </c>
      <c r="V85" s="113">
        <f t="shared" si="20"/>
        <v>2.7856666666665763E-2</v>
      </c>
      <c r="W85" s="113">
        <f t="shared" si="21"/>
        <v>2.7856666666665763E-2</v>
      </c>
      <c r="X85" s="112">
        <v>-0.04</v>
      </c>
      <c r="Y85" s="68"/>
      <c r="Z85" s="8"/>
      <c r="AA85" s="8"/>
    </row>
    <row r="86" spans="1:27" x14ac:dyDescent="0.3">
      <c r="I86" s="70"/>
      <c r="J86" s="112">
        <v>-0.04</v>
      </c>
      <c r="K86" s="113">
        <f t="shared" si="16"/>
        <v>-2.5078888888887985E-2</v>
      </c>
      <c r="L86" s="113">
        <f t="shared" si="17"/>
        <v>-2.5078888888887985E-2</v>
      </c>
      <c r="M86" s="113">
        <f t="shared" si="18"/>
        <v>-2.5078888888887985E-2</v>
      </c>
      <c r="N86" s="51"/>
      <c r="O86" s="113">
        <f t="shared" ref="O86:O101" si="24">-M86</f>
        <v>2.5078888888887985E-2</v>
      </c>
      <c r="P86" s="115">
        <v>-0.04</v>
      </c>
      <c r="Q86" s="55">
        <v>149425</v>
      </c>
      <c r="R86" s="115">
        <v>-0.04</v>
      </c>
      <c r="S86" s="113">
        <f t="shared" si="23"/>
        <v>-2.5078888888887985E-2</v>
      </c>
      <c r="T86" s="51"/>
      <c r="U86" s="113">
        <f t="shared" si="19"/>
        <v>2.5078888888887985E-2</v>
      </c>
      <c r="V86" s="113">
        <f t="shared" si="20"/>
        <v>2.5078888888887985E-2</v>
      </c>
      <c r="W86" s="113">
        <f t="shared" si="21"/>
        <v>2.5078888888887985E-2</v>
      </c>
      <c r="X86" s="112">
        <v>-0.04</v>
      </c>
      <c r="Y86" s="68"/>
      <c r="Z86" s="8"/>
      <c r="AA86" s="8"/>
    </row>
    <row r="87" spans="1:27" s="47" customFormat="1" x14ac:dyDescent="0.3">
      <c r="A87" s="46"/>
      <c r="B87" s="46"/>
      <c r="C87" s="46"/>
      <c r="D87" s="46"/>
      <c r="E87" s="46"/>
      <c r="F87" s="46"/>
      <c r="G87" s="46"/>
      <c r="H87" s="46"/>
      <c r="I87" s="71" t="s">
        <v>44</v>
      </c>
      <c r="J87" s="112">
        <v>-0.04</v>
      </c>
      <c r="K87" s="113">
        <f t="shared" si="16"/>
        <v>-2.377777777777778E-2</v>
      </c>
      <c r="L87" s="113">
        <f t="shared" si="17"/>
        <v>-2.377777777777778E-2</v>
      </c>
      <c r="M87" s="113">
        <f t="shared" si="18"/>
        <v>-2.377777777777778E-2</v>
      </c>
      <c r="N87" s="60"/>
      <c r="O87" s="113">
        <f t="shared" si="24"/>
        <v>2.377777777777778E-2</v>
      </c>
      <c r="P87" s="115">
        <v>-0.04</v>
      </c>
      <c r="Q87" s="61">
        <f>B4</f>
        <v>149436.71</v>
      </c>
      <c r="R87" s="115">
        <v>-0.04</v>
      </c>
      <c r="S87" s="113">
        <f t="shared" si="23"/>
        <v>-2.377777777777778E-2</v>
      </c>
      <c r="T87" s="60"/>
      <c r="U87" s="113">
        <f t="shared" si="19"/>
        <v>2.377777777777778E-2</v>
      </c>
      <c r="V87" s="113">
        <f t="shared" si="20"/>
        <v>2.377777777777778E-2</v>
      </c>
      <c r="W87" s="113">
        <f t="shared" si="21"/>
        <v>2.377777777777778E-2</v>
      </c>
      <c r="X87" s="112">
        <v>-0.04</v>
      </c>
      <c r="Y87" s="72" t="s">
        <v>44</v>
      </c>
      <c r="Z87" s="46"/>
      <c r="AA87" s="46"/>
    </row>
    <row r="88" spans="1:27" x14ac:dyDescent="0.3">
      <c r="I88" s="67"/>
      <c r="J88" s="112">
        <v>-0.04</v>
      </c>
      <c r="K88" s="113">
        <f t="shared" si="16"/>
        <v>-2.230111111111021E-2</v>
      </c>
      <c r="L88" s="113">
        <f t="shared" si="17"/>
        <v>-2.230111111111021E-2</v>
      </c>
      <c r="M88" s="113">
        <f t="shared" si="18"/>
        <v>-2.230111111111021E-2</v>
      </c>
      <c r="N88" s="51"/>
      <c r="O88" s="113">
        <f t="shared" si="24"/>
        <v>2.230111111111021E-2</v>
      </c>
      <c r="P88" s="115">
        <v>-0.04</v>
      </c>
      <c r="Q88" s="50">
        <v>149450</v>
      </c>
      <c r="R88" s="115">
        <v>-0.04</v>
      </c>
      <c r="S88" s="113">
        <f t="shared" si="23"/>
        <v>-2.230111111111021E-2</v>
      </c>
      <c r="T88" s="51"/>
      <c r="U88" s="113">
        <f t="shared" si="19"/>
        <v>2.230111111111021E-2</v>
      </c>
      <c r="V88" s="113">
        <f t="shared" si="20"/>
        <v>2.230111111111021E-2</v>
      </c>
      <c r="W88" s="113">
        <f t="shared" si="21"/>
        <v>2.230111111111021E-2</v>
      </c>
      <c r="X88" s="112">
        <v>-0.04</v>
      </c>
      <c r="Y88" s="68"/>
      <c r="Z88" s="8"/>
      <c r="AA88" s="8"/>
    </row>
    <row r="89" spans="1:27" x14ac:dyDescent="0.3">
      <c r="I89" s="67"/>
      <c r="J89" s="112">
        <v>-0.04</v>
      </c>
      <c r="K89" s="113">
        <f t="shared" si="16"/>
        <v>-1.9523333333332428E-2</v>
      </c>
      <c r="L89" s="113">
        <f t="shared" si="17"/>
        <v>-1.9523333333332428E-2</v>
      </c>
      <c r="M89" s="113">
        <f t="shared" si="18"/>
        <v>-1.9523333333332428E-2</v>
      </c>
      <c r="N89" s="51"/>
      <c r="O89" s="113">
        <f t="shared" si="24"/>
        <v>1.9523333333332428E-2</v>
      </c>
      <c r="P89" s="115">
        <v>-0.04</v>
      </c>
      <c r="Q89" s="50">
        <v>149475</v>
      </c>
      <c r="R89" s="115">
        <v>-0.04</v>
      </c>
      <c r="S89" s="113">
        <f t="shared" si="23"/>
        <v>-1.9523333333332428E-2</v>
      </c>
      <c r="T89" s="51"/>
      <c r="U89" s="113">
        <f t="shared" si="19"/>
        <v>1.9523333333332428E-2</v>
      </c>
      <c r="V89" s="113">
        <f t="shared" si="20"/>
        <v>1.9523333333332428E-2</v>
      </c>
      <c r="W89" s="113">
        <f t="shared" si="21"/>
        <v>1.9523333333332428E-2</v>
      </c>
      <c r="X89" s="112">
        <v>-0.04</v>
      </c>
      <c r="Y89" s="68"/>
      <c r="Z89" s="8"/>
      <c r="AA89" s="8"/>
    </row>
    <row r="90" spans="1:27" x14ac:dyDescent="0.3">
      <c r="I90" s="67"/>
      <c r="J90" s="112">
        <v>-0.04</v>
      </c>
      <c r="K90" s="113">
        <f t="shared" ref="K90" si="25">$K$82+((Q90-$Q$82)/(($B$7)*(36)))</f>
        <v>-1.6745555555554653E-2</v>
      </c>
      <c r="L90" s="113">
        <f t="shared" ref="L90" si="26">$L$82+((Q90-$Q$82)/(($B$7)*(36)))</f>
        <v>-1.6745555555554653E-2</v>
      </c>
      <c r="M90" s="113">
        <f t="shared" ref="M90" si="27">$M$82+((Q90-$Q$82)/(($B$7)*(36)))</f>
        <v>-1.6745555555554653E-2</v>
      </c>
      <c r="N90" s="51"/>
      <c r="O90" s="113">
        <f t="shared" ref="O90" si="28">-M90</f>
        <v>1.6745555555554653E-2</v>
      </c>
      <c r="P90" s="115">
        <v>-0.04</v>
      </c>
      <c r="Q90" s="50">
        <v>149500</v>
      </c>
      <c r="R90" s="115">
        <v>-0.04</v>
      </c>
      <c r="S90" s="113">
        <f t="shared" ref="S90" si="29">-U90</f>
        <v>-1.6745555555554653E-2</v>
      </c>
      <c r="T90" s="51"/>
      <c r="U90" s="113">
        <f t="shared" ref="U90" si="30">$U$82-((Q90-$Q$82)/(($B$7)*(36)))</f>
        <v>1.6745555555554653E-2</v>
      </c>
      <c r="V90" s="113">
        <f t="shared" ref="V90" si="31">$V$82-((Q90-$Q$82)/(($B$7)*(36)))</f>
        <v>1.6745555555554653E-2</v>
      </c>
      <c r="W90" s="113">
        <f t="shared" ref="W90" si="32">$W$82-((Q90-$Q$82)/(($B$7)*(36)))</f>
        <v>1.6745555555554653E-2</v>
      </c>
      <c r="X90" s="112">
        <v>-0.04</v>
      </c>
      <c r="Y90" s="68"/>
      <c r="Z90" s="8"/>
      <c r="AA90" s="8"/>
    </row>
    <row r="91" spans="1:27" x14ac:dyDescent="0.3">
      <c r="I91" s="67"/>
      <c r="J91" s="112">
        <v>-0.04</v>
      </c>
      <c r="K91" s="113">
        <f t="shared" si="16"/>
        <v>-1.6E-2</v>
      </c>
      <c r="L91" s="113">
        <f t="shared" si="17"/>
        <v>-1.6E-2</v>
      </c>
      <c r="M91" s="113">
        <f t="shared" si="18"/>
        <v>-1.6E-2</v>
      </c>
      <c r="N91" s="51"/>
      <c r="O91" s="113">
        <f t="shared" si="24"/>
        <v>1.6E-2</v>
      </c>
      <c r="P91" s="115">
        <v>-0.04</v>
      </c>
      <c r="Q91" s="62">
        <f>Q82+B15</f>
        <v>149506.71</v>
      </c>
      <c r="R91" s="115">
        <v>-0.04</v>
      </c>
      <c r="S91" s="113">
        <f>-U91</f>
        <v>-1.6E-2</v>
      </c>
      <c r="T91" s="51"/>
      <c r="U91" s="113">
        <f t="shared" si="19"/>
        <v>1.6E-2</v>
      </c>
      <c r="V91" s="113">
        <f t="shared" si="20"/>
        <v>1.6E-2</v>
      </c>
      <c r="W91" s="113">
        <f t="shared" si="21"/>
        <v>1.6E-2</v>
      </c>
      <c r="X91" s="112">
        <v>-0.04</v>
      </c>
      <c r="Y91" s="68"/>
      <c r="Z91" s="8"/>
      <c r="AA91" s="8"/>
    </row>
    <row r="92" spans="1:27" x14ac:dyDescent="0.3">
      <c r="I92" s="67"/>
      <c r="J92" s="112">
        <v>-0.04</v>
      </c>
      <c r="K92" s="112">
        <v>-1.6E-2</v>
      </c>
      <c r="L92" s="112">
        <v>-1.6E-2</v>
      </c>
      <c r="M92" s="113">
        <f t="shared" ref="M92:M97" si="33">$M$91+((Q92-$Q$91)/(($B$7)*(12)))</f>
        <v>-9.9033333333306169E-3</v>
      </c>
      <c r="N92" s="51"/>
      <c r="O92" s="113">
        <f t="shared" si="24"/>
        <v>9.9033333333306169E-3</v>
      </c>
      <c r="P92" s="115">
        <v>-0.04</v>
      </c>
      <c r="Q92" s="50">
        <v>149525</v>
      </c>
      <c r="R92" s="115">
        <v>-0.04</v>
      </c>
      <c r="S92" s="112">
        <f>-U92</f>
        <v>-1.6E-2</v>
      </c>
      <c r="T92" s="51"/>
      <c r="U92" s="112">
        <v>1.6E-2</v>
      </c>
      <c r="V92" s="113">
        <f t="shared" ref="V92:V101" si="34">$V$91-((Q92-$Q$91)/(($B$7)*(24)))</f>
        <v>1.2951666666665309E-2</v>
      </c>
      <c r="W92" s="113">
        <f t="shared" ref="W92:W101" si="35">$W$91-((Q92-$Q$91)/(($B$7)*(24)))</f>
        <v>1.2951666666665309E-2</v>
      </c>
      <c r="X92" s="112">
        <v>-0.04</v>
      </c>
      <c r="Y92" s="68"/>
      <c r="Z92" s="8"/>
      <c r="AA92" s="8"/>
    </row>
    <row r="93" spans="1:27" x14ac:dyDescent="0.3">
      <c r="I93" s="67"/>
      <c r="J93" s="112">
        <v>-0.04</v>
      </c>
      <c r="K93" s="112">
        <v>-1.6E-2</v>
      </c>
      <c r="L93" s="112">
        <v>-1.6E-2</v>
      </c>
      <c r="M93" s="113">
        <f t="shared" si="33"/>
        <v>-1.5699999999972836E-3</v>
      </c>
      <c r="N93" s="51"/>
      <c r="O93" s="113">
        <f t="shared" si="24"/>
        <v>1.5699999999972836E-3</v>
      </c>
      <c r="P93" s="115">
        <v>-0.04</v>
      </c>
      <c r="Q93" s="50">
        <v>149550</v>
      </c>
      <c r="R93" s="115">
        <v>-0.04</v>
      </c>
      <c r="S93" s="112">
        <f t="shared" ref="S93:S101" si="36">-U93</f>
        <v>-1.6E-2</v>
      </c>
      <c r="T93" s="51"/>
      <c r="U93" s="112">
        <v>1.6E-2</v>
      </c>
      <c r="V93" s="113">
        <f t="shared" si="34"/>
        <v>8.7849999999986411E-3</v>
      </c>
      <c r="W93" s="113">
        <f t="shared" si="35"/>
        <v>8.7849999999986411E-3</v>
      </c>
      <c r="X93" s="112">
        <v>-0.04</v>
      </c>
      <c r="Y93" s="68"/>
      <c r="Z93" s="8"/>
      <c r="AA93" s="8"/>
    </row>
    <row r="94" spans="1:27" x14ac:dyDescent="0.3">
      <c r="I94" s="70" t="s">
        <v>83</v>
      </c>
      <c r="J94" s="112">
        <v>-0.04</v>
      </c>
      <c r="K94" s="112">
        <v>-1.6E-2</v>
      </c>
      <c r="L94" s="112">
        <v>-1.6E-2</v>
      </c>
      <c r="M94" s="113">
        <f t="shared" si="33"/>
        <v>0</v>
      </c>
      <c r="N94" s="51"/>
      <c r="O94" s="113">
        <f t="shared" si="24"/>
        <v>0</v>
      </c>
      <c r="P94" s="115">
        <v>-0.04</v>
      </c>
      <c r="Q94" s="62">
        <f>Q91+48</f>
        <v>149554.71</v>
      </c>
      <c r="R94" s="115">
        <v>-0.04</v>
      </c>
      <c r="S94" s="112">
        <f t="shared" si="36"/>
        <v>-1.6E-2</v>
      </c>
      <c r="T94" s="51"/>
      <c r="U94" s="112">
        <v>1.6E-2</v>
      </c>
      <c r="V94" s="113">
        <f t="shared" si="34"/>
        <v>8.0000000000000002E-3</v>
      </c>
      <c r="W94" s="113">
        <f t="shared" si="35"/>
        <v>8.0000000000000002E-3</v>
      </c>
      <c r="X94" s="112">
        <v>-0.04</v>
      </c>
      <c r="Y94" s="68"/>
      <c r="Z94" s="8"/>
      <c r="AA94" s="8"/>
    </row>
    <row r="95" spans="1:27" x14ac:dyDescent="0.3">
      <c r="I95" s="67"/>
      <c r="J95" s="112">
        <v>-0.04</v>
      </c>
      <c r="K95" s="112">
        <v>-1.6E-2</v>
      </c>
      <c r="L95" s="112">
        <v>-1.6E-2</v>
      </c>
      <c r="M95" s="113">
        <f t="shared" si="33"/>
        <v>6.7633333333360496E-3</v>
      </c>
      <c r="N95" s="51"/>
      <c r="O95" s="113">
        <f t="shared" si="24"/>
        <v>-6.7633333333360496E-3</v>
      </c>
      <c r="P95" s="115">
        <v>-0.04</v>
      </c>
      <c r="Q95" s="50">
        <v>149575</v>
      </c>
      <c r="R95" s="115">
        <v>-0.04</v>
      </c>
      <c r="S95" s="112">
        <f t="shared" si="36"/>
        <v>-1.6E-2</v>
      </c>
      <c r="T95" s="51"/>
      <c r="U95" s="112">
        <v>1.6E-2</v>
      </c>
      <c r="V95" s="113">
        <f t="shared" si="34"/>
        <v>4.6183333333319754E-3</v>
      </c>
      <c r="W95" s="113">
        <f t="shared" si="35"/>
        <v>4.6183333333319754E-3</v>
      </c>
      <c r="X95" s="112">
        <v>-0.04</v>
      </c>
      <c r="Y95" s="68"/>
      <c r="Z95" s="8"/>
      <c r="AA95" s="8"/>
    </row>
    <row r="96" spans="1:27" x14ac:dyDescent="0.3">
      <c r="I96" s="67"/>
      <c r="J96" s="112">
        <v>-0.04</v>
      </c>
      <c r="K96" s="112">
        <v>-1.6E-2</v>
      </c>
      <c r="L96" s="112">
        <v>-1.6E-2</v>
      </c>
      <c r="M96" s="113">
        <f t="shared" si="33"/>
        <v>1.5096666666669381E-2</v>
      </c>
      <c r="N96" s="51"/>
      <c r="O96" s="113">
        <f t="shared" si="24"/>
        <v>-1.5096666666669381E-2</v>
      </c>
      <c r="P96" s="115">
        <v>-0.04</v>
      </c>
      <c r="Q96" s="50">
        <v>149600</v>
      </c>
      <c r="R96" s="115">
        <v>-0.04</v>
      </c>
      <c r="S96" s="112">
        <f t="shared" si="36"/>
        <v>-1.6E-2</v>
      </c>
      <c r="T96" s="51"/>
      <c r="U96" s="112">
        <v>1.6E-2</v>
      </c>
      <c r="V96" s="113">
        <f t="shared" si="34"/>
        <v>4.5166666666530964E-4</v>
      </c>
      <c r="W96" s="113">
        <f t="shared" si="35"/>
        <v>4.5166666666530964E-4</v>
      </c>
      <c r="X96" s="112">
        <v>-0.04</v>
      </c>
      <c r="Y96" s="68"/>
      <c r="Z96" s="8"/>
      <c r="AA96" s="8"/>
    </row>
    <row r="97" spans="9:27" x14ac:dyDescent="0.3">
      <c r="I97" s="70" t="s">
        <v>84</v>
      </c>
      <c r="J97" s="112">
        <v>-0.04</v>
      </c>
      <c r="K97" s="112">
        <v>-1.6E-2</v>
      </c>
      <c r="L97" s="112">
        <v>-1.6E-2</v>
      </c>
      <c r="M97" s="113">
        <f t="shared" si="33"/>
        <v>1.6E-2</v>
      </c>
      <c r="N97" s="51"/>
      <c r="O97" s="113">
        <f t="shared" si="24"/>
        <v>-1.6E-2</v>
      </c>
      <c r="P97" s="115">
        <v>-0.04</v>
      </c>
      <c r="Q97" s="62">
        <f>Q87+B17</f>
        <v>149602.71</v>
      </c>
      <c r="R97" s="115">
        <v>-0.04</v>
      </c>
      <c r="S97" s="112">
        <f t="shared" si="36"/>
        <v>-1.6E-2</v>
      </c>
      <c r="T97" s="51"/>
      <c r="U97" s="112">
        <v>1.6E-2</v>
      </c>
      <c r="V97" s="113">
        <f t="shared" si="34"/>
        <v>0</v>
      </c>
      <c r="W97" s="113">
        <f t="shared" si="35"/>
        <v>0</v>
      </c>
      <c r="X97" s="112">
        <v>-0.04</v>
      </c>
      <c r="Y97" s="68" t="s">
        <v>81</v>
      </c>
      <c r="Z97" s="8"/>
      <c r="AA97" s="8"/>
    </row>
    <row r="98" spans="9:27" x14ac:dyDescent="0.3">
      <c r="I98" s="67"/>
      <c r="J98" s="112">
        <v>-0.04</v>
      </c>
      <c r="K98" s="112">
        <v>-1.6E-2</v>
      </c>
      <c r="L98" s="112">
        <v>-1.6E-2</v>
      </c>
      <c r="M98" s="112">
        <v>1.6E-2</v>
      </c>
      <c r="N98" s="51"/>
      <c r="O98" s="112">
        <f t="shared" si="24"/>
        <v>-1.6E-2</v>
      </c>
      <c r="P98" s="115">
        <v>-0.04</v>
      </c>
      <c r="Q98" s="50">
        <v>149625</v>
      </c>
      <c r="R98" s="115">
        <v>-0.04</v>
      </c>
      <c r="S98" s="112">
        <f t="shared" si="36"/>
        <v>-1.6E-2</v>
      </c>
      <c r="T98" s="51"/>
      <c r="U98" s="112">
        <v>1.6E-2</v>
      </c>
      <c r="V98" s="113">
        <f t="shared" si="34"/>
        <v>-3.7150000000013596E-3</v>
      </c>
      <c r="W98" s="113">
        <f t="shared" si="35"/>
        <v>-3.7150000000013596E-3</v>
      </c>
      <c r="X98" s="112">
        <v>-0.04</v>
      </c>
      <c r="Y98" s="68"/>
      <c r="Z98" s="8"/>
      <c r="AA98" s="8"/>
    </row>
    <row r="99" spans="9:27" x14ac:dyDescent="0.3">
      <c r="I99" s="67"/>
      <c r="J99" s="112">
        <v>-0.04</v>
      </c>
      <c r="K99" s="112">
        <v>-1.6E-2</v>
      </c>
      <c r="L99" s="112">
        <v>-1.6E-2</v>
      </c>
      <c r="M99" s="112">
        <v>1.6E-2</v>
      </c>
      <c r="N99" s="51"/>
      <c r="O99" s="112">
        <f t="shared" si="24"/>
        <v>-1.6E-2</v>
      </c>
      <c r="P99" s="115">
        <v>-0.04</v>
      </c>
      <c r="Q99" s="50">
        <v>149650</v>
      </c>
      <c r="R99" s="115">
        <v>-0.04</v>
      </c>
      <c r="S99" s="112">
        <f t="shared" si="36"/>
        <v>-1.6E-2</v>
      </c>
      <c r="T99" s="51"/>
      <c r="U99" s="112">
        <v>1.6E-2</v>
      </c>
      <c r="V99" s="113">
        <f t="shared" si="34"/>
        <v>-7.8816666666680253E-3</v>
      </c>
      <c r="W99" s="113">
        <f t="shared" si="35"/>
        <v>-7.8816666666680253E-3</v>
      </c>
      <c r="X99" s="112">
        <v>-0.04</v>
      </c>
      <c r="Y99" s="68"/>
      <c r="Z99" s="8"/>
      <c r="AA99" s="8"/>
    </row>
    <row r="100" spans="9:27" x14ac:dyDescent="0.3">
      <c r="I100" s="67"/>
      <c r="J100" s="112">
        <v>-0.04</v>
      </c>
      <c r="K100" s="112">
        <v>-1.6E-2</v>
      </c>
      <c r="L100" s="112">
        <v>-1.6E-2</v>
      </c>
      <c r="M100" s="112">
        <v>1.6E-2</v>
      </c>
      <c r="N100" s="51"/>
      <c r="O100" s="112">
        <f t="shared" si="24"/>
        <v>-1.6E-2</v>
      </c>
      <c r="P100" s="115">
        <v>-0.04</v>
      </c>
      <c r="Q100" s="50">
        <v>149675</v>
      </c>
      <c r="R100" s="115">
        <v>-0.04</v>
      </c>
      <c r="S100" s="112">
        <f t="shared" si="36"/>
        <v>-1.6E-2</v>
      </c>
      <c r="T100" s="51"/>
      <c r="U100" s="112">
        <v>1.6E-2</v>
      </c>
      <c r="V100" s="113">
        <f t="shared" si="34"/>
        <v>-1.2048333333334691E-2</v>
      </c>
      <c r="W100" s="113">
        <f t="shared" si="35"/>
        <v>-1.2048333333334691E-2</v>
      </c>
      <c r="X100" s="112">
        <v>-0.04</v>
      </c>
      <c r="Y100" s="68"/>
      <c r="Z100" s="8"/>
      <c r="AA100" s="8"/>
    </row>
    <row r="101" spans="9:27" ht="15" thickBot="1" x14ac:dyDescent="0.35">
      <c r="I101" s="73"/>
      <c r="J101" s="117">
        <v>-0.04</v>
      </c>
      <c r="K101" s="117">
        <v>-1.6E-2</v>
      </c>
      <c r="L101" s="117">
        <v>-1.6E-2</v>
      </c>
      <c r="M101" s="117">
        <v>1.6E-2</v>
      </c>
      <c r="N101" s="76"/>
      <c r="O101" s="117">
        <f t="shared" si="24"/>
        <v>-1.6E-2</v>
      </c>
      <c r="P101" s="116">
        <v>-0.04</v>
      </c>
      <c r="Q101" s="78">
        <f>Q97+B12</f>
        <v>149698.71</v>
      </c>
      <c r="R101" s="116">
        <v>-0.04</v>
      </c>
      <c r="S101" s="117">
        <f t="shared" si="36"/>
        <v>-1.6E-2</v>
      </c>
      <c r="T101" s="76"/>
      <c r="U101" s="117">
        <v>1.6E-2</v>
      </c>
      <c r="V101" s="121">
        <f t="shared" si="34"/>
        <v>-1.6E-2</v>
      </c>
      <c r="W101" s="121">
        <f t="shared" si="35"/>
        <v>-1.6E-2</v>
      </c>
      <c r="X101" s="117">
        <v>-0.04</v>
      </c>
      <c r="Y101" s="80" t="s">
        <v>84</v>
      </c>
      <c r="Z101" s="8"/>
      <c r="AA101" s="8"/>
    </row>
    <row r="102" spans="9:27" x14ac:dyDescent="0.3">
      <c r="I102" s="8"/>
      <c r="J102" s="1"/>
      <c r="K102" s="1"/>
      <c r="L102" s="1"/>
      <c r="M102" s="1"/>
      <c r="N102" s="1"/>
      <c r="O102" s="1"/>
      <c r="P102" s="1"/>
      <c r="Q102" s="42"/>
      <c r="R102" s="1"/>
      <c r="S102" s="1"/>
      <c r="T102" s="1"/>
      <c r="Y102" s="35"/>
      <c r="Z102" s="8"/>
      <c r="AA102" s="8"/>
    </row>
    <row r="103" spans="9:27" x14ac:dyDescent="0.3">
      <c r="I103" s="8"/>
      <c r="J103" s="1"/>
      <c r="K103" s="1"/>
      <c r="L103" s="1"/>
      <c r="M103" s="1"/>
      <c r="N103" s="1"/>
      <c r="O103" s="1"/>
      <c r="P103" s="1"/>
      <c r="Q103" s="42"/>
      <c r="R103" s="1"/>
      <c r="S103" s="1"/>
      <c r="T103" s="1"/>
      <c r="Y103" s="35"/>
      <c r="Z103" s="8"/>
      <c r="AA103" s="8"/>
    </row>
    <row r="104" spans="9:27" x14ac:dyDescent="0.3">
      <c r="I104" s="8"/>
      <c r="J104" s="1"/>
      <c r="K104" s="1"/>
      <c r="L104" s="1"/>
      <c r="M104" s="1"/>
      <c r="N104" s="1"/>
      <c r="O104" s="1"/>
      <c r="P104" s="1"/>
      <c r="Q104" s="42"/>
      <c r="R104" s="1"/>
      <c r="S104" s="1"/>
      <c r="T104" s="1"/>
      <c r="Y104" s="35"/>
      <c r="Z104" s="8"/>
      <c r="AA104" s="8"/>
    </row>
    <row r="105" spans="9:27" x14ac:dyDescent="0.3">
      <c r="I105" s="8"/>
      <c r="J105" s="1"/>
      <c r="K105" s="1"/>
      <c r="L105" s="1"/>
      <c r="M105" s="1"/>
      <c r="N105" s="1"/>
      <c r="O105" s="1"/>
      <c r="P105" s="1"/>
      <c r="Q105" s="42"/>
      <c r="Y105" s="35"/>
      <c r="Z105" s="8"/>
      <c r="AA105" s="8"/>
    </row>
    <row r="106" spans="9:27" x14ac:dyDescent="0.3">
      <c r="I106" s="8"/>
      <c r="J106" s="1"/>
      <c r="K106" s="1"/>
      <c r="L106" s="1"/>
      <c r="M106" s="1"/>
      <c r="N106" s="1"/>
      <c r="O106" s="1"/>
      <c r="P106" s="1"/>
      <c r="Q106" s="42"/>
      <c r="Y106" s="35"/>
      <c r="Z106" s="8"/>
      <c r="AA106" s="8"/>
    </row>
    <row r="107" spans="9:27" x14ac:dyDescent="0.3">
      <c r="I107" s="8"/>
      <c r="J107" s="1"/>
      <c r="K107" s="1"/>
      <c r="L107" s="1"/>
      <c r="M107" s="1"/>
      <c r="N107" s="1"/>
      <c r="O107" s="1"/>
      <c r="P107" s="1"/>
      <c r="Q107" s="42"/>
      <c r="Y107" s="35"/>
      <c r="Z107" s="8"/>
      <c r="AA107" s="8"/>
    </row>
    <row r="108" spans="9:27" x14ac:dyDescent="0.3">
      <c r="I108" s="8"/>
      <c r="J108" s="1"/>
      <c r="K108" s="1"/>
      <c r="L108" s="1"/>
      <c r="M108" s="1"/>
      <c r="N108" s="1"/>
      <c r="O108" s="1"/>
      <c r="P108" s="1"/>
      <c r="Q108" s="42"/>
      <c r="Y108" s="35"/>
      <c r="Z108" s="8"/>
      <c r="AA108" s="8"/>
    </row>
    <row r="109" spans="9:27" x14ac:dyDescent="0.3">
      <c r="I109" s="8"/>
      <c r="J109" s="1"/>
      <c r="K109" s="1"/>
      <c r="L109" s="1"/>
      <c r="M109" s="1"/>
      <c r="N109" s="1"/>
      <c r="O109" s="1"/>
      <c r="P109" s="1"/>
      <c r="Q109" s="42"/>
      <c r="Y109" s="35"/>
      <c r="Z109" s="8"/>
      <c r="AA109" s="8"/>
    </row>
  </sheetData>
  <mergeCells count="10">
    <mergeCell ref="D29:F34"/>
    <mergeCell ref="J50:P50"/>
    <mergeCell ref="R50:X50"/>
    <mergeCell ref="J76:X78"/>
    <mergeCell ref="A1:C1"/>
    <mergeCell ref="A11:C11"/>
    <mergeCell ref="D11:F11"/>
    <mergeCell ref="D12:F19"/>
    <mergeCell ref="A28:C28"/>
    <mergeCell ref="D28:F2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55E00-B199-4292-AB20-AFD7C050DC12}">
  <dimension ref="A1:AA97"/>
  <sheetViews>
    <sheetView topLeftCell="O68" zoomScale="130" zoomScaleNormal="130" workbookViewId="0">
      <selection activeCell="O53" sqref="O53:O69"/>
    </sheetView>
  </sheetViews>
  <sheetFormatPr defaultRowHeight="14.4" x14ac:dyDescent="0.3"/>
  <cols>
    <col min="1" max="2" width="17.77734375" style="8" bestFit="1" customWidth="1"/>
    <col min="3" max="3" width="59.77734375" style="8" customWidth="1"/>
    <col min="4" max="5" width="17.77734375" style="8" customWidth="1"/>
    <col min="6" max="6" width="59.77734375" style="8" customWidth="1"/>
    <col min="7" max="7" width="7.109375" style="8" bestFit="1" customWidth="1"/>
    <col min="8" max="8" width="15.6640625" style="8" customWidth="1"/>
    <col min="9" max="9" width="55.88671875" bestFit="1" customWidth="1"/>
    <col min="10" max="10" width="11.109375" style="40" bestFit="1" customWidth="1"/>
    <col min="11" max="13" width="12.33203125" style="40" bestFit="1" customWidth="1"/>
    <col min="14" max="14" width="19.88671875" style="40" bestFit="1" customWidth="1"/>
    <col min="15" max="15" width="12.44140625" style="40" bestFit="1" customWidth="1"/>
    <col min="16" max="16" width="17.33203125" style="40" bestFit="1" customWidth="1"/>
    <col min="17" max="17" width="23" style="41" bestFit="1" customWidth="1"/>
    <col min="18" max="18" width="17" style="42" bestFit="1" customWidth="1"/>
    <col min="19" max="19" width="19.88671875" style="42" bestFit="1" customWidth="1"/>
    <col min="20" max="20" width="19.88671875" style="42" customWidth="1"/>
    <col min="21" max="21" width="12.44140625" style="1" bestFit="1" customWidth="1"/>
    <col min="22" max="23" width="12.44140625" style="1" customWidth="1"/>
    <col min="24" max="24" width="11.109375" style="1" customWidth="1"/>
    <col min="25" max="25" width="45.77734375" style="45" bestFit="1" customWidth="1"/>
  </cols>
  <sheetData>
    <row r="1" spans="1:27" ht="63" customHeight="1" thickBot="1" x14ac:dyDescent="0.35">
      <c r="A1" s="167" t="s">
        <v>119</v>
      </c>
      <c r="B1" s="168"/>
      <c r="C1" s="168"/>
      <c r="D1" s="81"/>
      <c r="E1" s="81"/>
      <c r="F1" s="81"/>
      <c r="G1" s="81"/>
      <c r="H1" s="81"/>
      <c r="I1" s="81"/>
    </row>
    <row r="2" spans="1:27" x14ac:dyDescent="0.3">
      <c r="A2" s="43" t="s">
        <v>42</v>
      </c>
      <c r="B2" s="90">
        <v>155348.65</v>
      </c>
      <c r="C2" s="82"/>
      <c r="D2"/>
      <c r="E2"/>
      <c r="F2"/>
      <c r="G2"/>
      <c r="H2"/>
    </row>
    <row r="3" spans="1:27" x14ac:dyDescent="0.3">
      <c r="A3" s="44" t="s">
        <v>43</v>
      </c>
      <c r="B3" s="91">
        <v>154573.01</v>
      </c>
      <c r="C3" s="83"/>
      <c r="D3"/>
      <c r="E3"/>
      <c r="F3"/>
      <c r="G3"/>
      <c r="H3"/>
    </row>
    <row r="4" spans="1:27" x14ac:dyDescent="0.3">
      <c r="A4" s="44" t="s">
        <v>44</v>
      </c>
      <c r="B4" s="91">
        <v>156122.23999999999</v>
      </c>
      <c r="C4" s="83"/>
      <c r="D4"/>
      <c r="E4" s="156">
        <f>B4-B3</f>
        <v>1549.2299999999814</v>
      </c>
      <c r="F4"/>
      <c r="G4"/>
      <c r="H4"/>
    </row>
    <row r="5" spans="1:27" ht="16.2" x14ac:dyDescent="0.3">
      <c r="A5" s="44" t="s">
        <v>1</v>
      </c>
      <c r="B5" s="37" t="s">
        <v>120</v>
      </c>
      <c r="C5" s="83" t="s">
        <v>103</v>
      </c>
      <c r="D5"/>
      <c r="E5"/>
      <c r="F5"/>
      <c r="G5"/>
      <c r="H5"/>
    </row>
    <row r="6" spans="1:27" x14ac:dyDescent="0.3">
      <c r="A6" s="44" t="s">
        <v>45</v>
      </c>
      <c r="B6" s="37" t="s">
        <v>6</v>
      </c>
      <c r="C6" s="83"/>
      <c r="D6"/>
      <c r="E6"/>
      <c r="F6"/>
      <c r="G6"/>
      <c r="H6"/>
    </row>
    <row r="7" spans="1:27" x14ac:dyDescent="0.3">
      <c r="A7" s="44" t="s">
        <v>46</v>
      </c>
      <c r="B7" s="37">
        <v>250</v>
      </c>
      <c r="C7" s="83"/>
      <c r="D7"/>
      <c r="E7"/>
      <c r="F7"/>
      <c r="G7"/>
      <c r="H7"/>
    </row>
    <row r="8" spans="1:27" x14ac:dyDescent="0.3">
      <c r="A8" s="44" t="s">
        <v>8</v>
      </c>
      <c r="B8" s="38" t="s">
        <v>114</v>
      </c>
      <c r="C8" s="37" t="s">
        <v>48</v>
      </c>
      <c r="I8" s="8"/>
      <c r="K8" s="1"/>
      <c r="L8" s="1"/>
      <c r="M8" s="1"/>
      <c r="N8" s="1"/>
      <c r="O8" s="1"/>
      <c r="P8" s="1"/>
      <c r="Q8" s="42"/>
      <c r="Y8" s="35"/>
      <c r="Z8" s="8"/>
      <c r="AA8" s="8"/>
    </row>
    <row r="9" spans="1:27" x14ac:dyDescent="0.3">
      <c r="A9" s="44"/>
      <c r="B9" s="39">
        <v>1.7999999999999999E-2</v>
      </c>
      <c r="C9" s="83" t="s">
        <v>49</v>
      </c>
      <c r="D9"/>
      <c r="E9"/>
      <c r="F9"/>
      <c r="G9"/>
      <c r="H9"/>
      <c r="P9" s="1"/>
      <c r="Q9" s="42"/>
      <c r="Y9" s="35"/>
      <c r="Z9" s="8"/>
      <c r="AA9" s="8"/>
    </row>
    <row r="10" spans="1:27" ht="15" thickBot="1" x14ac:dyDescent="0.35">
      <c r="A10" s="44" t="s">
        <v>51</v>
      </c>
      <c r="B10" s="39">
        <v>1.6E-2</v>
      </c>
      <c r="C10" s="83"/>
      <c r="D10"/>
      <c r="E10"/>
      <c r="F10"/>
      <c r="G10"/>
      <c r="H10"/>
      <c r="P10" s="1"/>
      <c r="Q10" s="42"/>
      <c r="Y10" s="35"/>
      <c r="Z10" s="8"/>
      <c r="AA10" s="8"/>
    </row>
    <row r="11" spans="1:27" ht="15" thickBot="1" x14ac:dyDescent="0.35">
      <c r="A11" s="169" t="s">
        <v>92</v>
      </c>
      <c r="B11" s="170"/>
      <c r="C11" s="171"/>
      <c r="D11" s="169" t="s">
        <v>94</v>
      </c>
      <c r="E11" s="170"/>
      <c r="F11" s="171"/>
      <c r="G11"/>
      <c r="H11"/>
      <c r="P11" s="1"/>
      <c r="Q11" s="42"/>
      <c r="Y11" s="35"/>
      <c r="Z11" s="8"/>
      <c r="AA11" s="8"/>
    </row>
    <row r="12" spans="1:27" x14ac:dyDescent="0.3">
      <c r="A12" s="92" t="s">
        <v>50</v>
      </c>
      <c r="B12" s="84">
        <f>(24)*(B10)*(B7)</f>
        <v>96</v>
      </c>
      <c r="C12" s="84" t="s">
        <v>61</v>
      </c>
      <c r="D12" s="175"/>
      <c r="E12" s="176"/>
      <c r="F12" s="177"/>
      <c r="I12" s="8"/>
      <c r="J12" s="1"/>
      <c r="K12" s="1"/>
      <c r="L12" s="1"/>
      <c r="M12" s="1"/>
      <c r="N12" s="1"/>
      <c r="O12" s="1"/>
      <c r="P12" s="1"/>
      <c r="Q12" s="42"/>
      <c r="Y12" s="35"/>
      <c r="Z12" s="8"/>
      <c r="AA12" s="8"/>
    </row>
    <row r="13" spans="1:27" x14ac:dyDescent="0.3">
      <c r="A13" s="92" t="s">
        <v>53</v>
      </c>
      <c r="B13" s="84" t="s">
        <v>54</v>
      </c>
      <c r="C13" s="84" t="s">
        <v>58</v>
      </c>
      <c r="D13" s="178"/>
      <c r="E13" s="179"/>
      <c r="F13" s="180"/>
      <c r="I13" s="8"/>
      <c r="J13" s="1"/>
      <c r="K13" s="1"/>
      <c r="L13" s="1"/>
      <c r="M13" s="1"/>
      <c r="N13" s="1"/>
      <c r="O13" s="1"/>
      <c r="P13" s="1"/>
      <c r="Q13" s="42"/>
      <c r="Y13" s="35"/>
      <c r="Z13" s="8"/>
      <c r="AA13" s="8"/>
    </row>
    <row r="14" spans="1:27" x14ac:dyDescent="0.3">
      <c r="A14" s="92" t="s">
        <v>55</v>
      </c>
      <c r="B14" s="84">
        <f>(24)*(B10)*(B7)</f>
        <v>96</v>
      </c>
      <c r="C14" s="84"/>
      <c r="D14" s="178"/>
      <c r="E14" s="179"/>
      <c r="F14" s="180"/>
      <c r="I14" s="8"/>
      <c r="J14" s="1"/>
      <c r="K14" s="1"/>
      <c r="L14" s="1"/>
      <c r="M14" s="1"/>
      <c r="N14" s="1"/>
      <c r="O14" s="1"/>
      <c r="P14" s="1"/>
      <c r="Q14" s="42"/>
      <c r="Y14" s="35"/>
      <c r="Z14" s="8"/>
      <c r="AA14" s="8"/>
    </row>
    <row r="15" spans="1:27" x14ac:dyDescent="0.3">
      <c r="A15" s="92" t="s">
        <v>56</v>
      </c>
      <c r="B15" s="84">
        <f>(36)*(B9-B10)*(B7)</f>
        <v>17.999999999999986</v>
      </c>
      <c r="C15" s="84" t="s">
        <v>60</v>
      </c>
      <c r="D15" s="178"/>
      <c r="E15" s="179"/>
      <c r="F15" s="180"/>
      <c r="I15" s="8"/>
      <c r="J15" s="1"/>
      <c r="K15" s="1"/>
      <c r="L15" s="1"/>
      <c r="M15" s="1"/>
      <c r="N15" s="1"/>
      <c r="O15" s="1"/>
      <c r="P15" s="1"/>
      <c r="Q15" s="42"/>
      <c r="Y15" s="35"/>
      <c r="Z15" s="8"/>
      <c r="AA15" s="8"/>
    </row>
    <row r="16" spans="1:27" x14ac:dyDescent="0.3">
      <c r="A16" s="92" t="s">
        <v>53</v>
      </c>
      <c r="B16" s="84">
        <f>B14+B15</f>
        <v>113.99999999999999</v>
      </c>
      <c r="C16" s="84"/>
      <c r="D16" s="178"/>
      <c r="E16" s="179"/>
      <c r="F16" s="180"/>
      <c r="I16" s="8"/>
      <c r="J16" s="1"/>
      <c r="K16" s="1"/>
      <c r="L16" s="1"/>
      <c r="M16" s="1"/>
      <c r="N16" s="1"/>
      <c r="O16" s="1"/>
      <c r="P16" s="1"/>
      <c r="Q16" s="42"/>
      <c r="Y16" s="35"/>
      <c r="Z16" s="8"/>
      <c r="AA16" s="8"/>
    </row>
    <row r="17" spans="1:27" x14ac:dyDescent="0.3">
      <c r="A17" s="92" t="s">
        <v>62</v>
      </c>
      <c r="B17" s="84">
        <f>(2/3)*(B16)</f>
        <v>75.999999999999986</v>
      </c>
      <c r="C17" s="84"/>
      <c r="D17" s="178"/>
      <c r="E17" s="179"/>
      <c r="F17" s="180"/>
      <c r="I17" s="8"/>
      <c r="J17" s="1"/>
      <c r="K17" s="1"/>
      <c r="L17" s="1"/>
      <c r="M17" s="1"/>
      <c r="N17" s="1"/>
      <c r="O17" s="1"/>
      <c r="P17" s="1"/>
      <c r="Q17" s="42"/>
      <c r="Y17" s="35"/>
      <c r="Z17" s="8"/>
      <c r="AA17" s="8"/>
    </row>
    <row r="18" spans="1:27" x14ac:dyDescent="0.3">
      <c r="A18" s="92" t="s">
        <v>86</v>
      </c>
      <c r="B18" s="84">
        <f>(1/3)*(B16)</f>
        <v>37.999999999999993</v>
      </c>
      <c r="C18" s="84"/>
      <c r="D18" s="178"/>
      <c r="E18" s="179"/>
      <c r="F18" s="180"/>
      <c r="I18" s="8"/>
      <c r="J18" s="1"/>
      <c r="K18" s="1"/>
      <c r="L18" s="1"/>
      <c r="M18" s="1"/>
      <c r="N18" s="1"/>
      <c r="O18" s="1"/>
      <c r="P18" s="1"/>
      <c r="Q18" s="42"/>
      <c r="Y18" s="35"/>
      <c r="Z18" s="8"/>
      <c r="AA18" s="8"/>
    </row>
    <row r="19" spans="1:27" x14ac:dyDescent="0.3">
      <c r="A19" s="98"/>
      <c r="B19" s="99"/>
      <c r="C19" s="99"/>
      <c r="D19" s="181"/>
      <c r="E19" s="182"/>
      <c r="F19" s="183"/>
      <c r="I19" s="8"/>
      <c r="J19" s="1"/>
      <c r="K19" s="1"/>
      <c r="L19" s="1"/>
      <c r="M19" s="1"/>
      <c r="N19" s="1"/>
      <c r="O19" s="1"/>
      <c r="P19" s="1"/>
      <c r="Q19" s="42"/>
      <c r="Y19" s="35"/>
      <c r="Z19" s="8"/>
      <c r="AA19" s="8"/>
    </row>
    <row r="20" spans="1:27" x14ac:dyDescent="0.3">
      <c r="A20" s="92" t="s">
        <v>88</v>
      </c>
      <c r="B20" s="94">
        <f>(B21)-B12</f>
        <v>154401.01</v>
      </c>
      <c r="C20" s="84" t="s">
        <v>89</v>
      </c>
      <c r="D20" s="92" t="s">
        <v>90</v>
      </c>
      <c r="E20" s="94">
        <f>E22-(B18)</f>
        <v>156084.24</v>
      </c>
      <c r="F20" s="84" t="s">
        <v>98</v>
      </c>
      <c r="I20" s="8"/>
      <c r="J20" s="1"/>
      <c r="K20" s="1"/>
      <c r="L20" s="1"/>
      <c r="M20" s="1"/>
      <c r="N20" s="1"/>
      <c r="O20" s="1"/>
      <c r="P20" s="1"/>
      <c r="Q20" s="42"/>
      <c r="Y20" s="35"/>
      <c r="Z20" s="8"/>
      <c r="AA20" s="8"/>
    </row>
    <row r="21" spans="1:27" x14ac:dyDescent="0.3">
      <c r="A21" s="92"/>
      <c r="B21" s="94">
        <f>(B25)-(B17)</f>
        <v>154497.01</v>
      </c>
      <c r="C21" s="84" t="s">
        <v>96</v>
      </c>
      <c r="D21" s="92"/>
      <c r="E21" s="94">
        <f>E20+((B9-0.016)*(36)*(B7))</f>
        <v>156102.24</v>
      </c>
      <c r="F21" s="96">
        <v>1.6E-2</v>
      </c>
      <c r="I21" s="8"/>
      <c r="J21" s="1"/>
      <c r="K21" s="1"/>
      <c r="L21" s="1"/>
      <c r="M21" s="1"/>
      <c r="N21" s="1"/>
      <c r="O21" s="1"/>
      <c r="P21" s="1"/>
      <c r="Q21" s="42"/>
      <c r="Y21" s="35"/>
      <c r="Z21" s="8"/>
      <c r="AA21" s="8"/>
    </row>
    <row r="22" spans="1:27" x14ac:dyDescent="0.3">
      <c r="A22" s="92"/>
      <c r="B22" s="94">
        <f>B21+((24)*(B10-0.008)*(B7))</f>
        <v>154545.01</v>
      </c>
      <c r="C22" s="96">
        <v>8.0000000000000002E-3</v>
      </c>
      <c r="D22" s="92" t="s">
        <v>44</v>
      </c>
      <c r="E22" s="94">
        <f>B4</f>
        <v>156122.23999999999</v>
      </c>
      <c r="F22" s="96" t="str">
        <f>D22</f>
        <v>PT</v>
      </c>
      <c r="I22" s="8"/>
      <c r="J22" s="1"/>
      <c r="K22" s="1"/>
      <c r="L22" s="1"/>
      <c r="M22" s="1"/>
      <c r="N22" s="1"/>
      <c r="O22" s="1"/>
      <c r="P22" s="1"/>
      <c r="Q22" s="42"/>
      <c r="Y22" s="35"/>
      <c r="Z22" s="8"/>
      <c r="AA22" s="8"/>
    </row>
    <row r="23" spans="1:27" x14ac:dyDescent="0.3">
      <c r="A23" s="92"/>
      <c r="B23" s="94">
        <f>B21+B12</f>
        <v>154593.01</v>
      </c>
      <c r="C23" s="96"/>
      <c r="D23" s="92"/>
      <c r="E23" s="94"/>
      <c r="F23" s="96"/>
      <c r="I23" s="8"/>
      <c r="J23" s="1"/>
      <c r="K23" s="1"/>
      <c r="L23" s="1"/>
      <c r="M23" s="1"/>
      <c r="N23" s="1"/>
      <c r="O23" s="1"/>
      <c r="P23" s="1"/>
      <c r="Q23" s="42"/>
      <c r="Y23" s="35"/>
      <c r="Z23" s="8"/>
      <c r="AA23" s="8"/>
    </row>
    <row r="24" spans="1:27" x14ac:dyDescent="0.3">
      <c r="A24" s="92"/>
      <c r="B24" s="94"/>
      <c r="C24" s="96"/>
      <c r="D24" s="92"/>
      <c r="E24" s="94"/>
      <c r="F24" s="96"/>
      <c r="I24" s="8"/>
      <c r="J24" s="1"/>
      <c r="K24" s="1"/>
      <c r="L24" s="1"/>
      <c r="M24" s="1"/>
      <c r="N24" s="1"/>
      <c r="O24" s="1"/>
      <c r="P24" s="1"/>
      <c r="Q24" s="42"/>
      <c r="Y24" s="35"/>
      <c r="Z24" s="8"/>
      <c r="AA24" s="8"/>
    </row>
    <row r="25" spans="1:27" x14ac:dyDescent="0.3">
      <c r="A25" s="92" t="s">
        <v>43</v>
      </c>
      <c r="B25" s="94">
        <f>B3</f>
        <v>154573.01</v>
      </c>
      <c r="C25" s="84" t="str">
        <f>A25</f>
        <v>PC</v>
      </c>
      <c r="D25" s="92"/>
      <c r="E25" s="94">
        <f>E21+((B10-0.008)*(24)*(B7))</f>
        <v>156150.24</v>
      </c>
      <c r="F25" s="96">
        <v>8.0000000000000002E-3</v>
      </c>
      <c r="G25" s="100"/>
      <c r="H25" s="100"/>
      <c r="I25" s="8"/>
      <c r="J25" s="1"/>
      <c r="K25" s="1"/>
      <c r="L25" s="1"/>
      <c r="M25" s="1"/>
      <c r="N25" s="1"/>
      <c r="O25" s="1"/>
      <c r="P25" s="1"/>
      <c r="Q25" s="42"/>
      <c r="Y25" s="35"/>
      <c r="Z25" s="8"/>
      <c r="AA25" s="8"/>
    </row>
    <row r="26" spans="1:27" x14ac:dyDescent="0.3">
      <c r="A26" s="92"/>
      <c r="B26" s="94">
        <f>B21+B12</f>
        <v>154593.01</v>
      </c>
      <c r="C26" s="96">
        <v>1.6E-2</v>
      </c>
      <c r="D26" s="92"/>
      <c r="E26" s="94">
        <f>E22+B17</f>
        <v>156198.24</v>
      </c>
      <c r="F26" s="97" t="s">
        <v>99</v>
      </c>
      <c r="G26" s="100">
        <f>E26-E25</f>
        <v>48</v>
      </c>
      <c r="H26" s="100" t="s">
        <v>100</v>
      </c>
      <c r="I26" s="8"/>
      <c r="J26" s="1"/>
      <c r="K26" s="1"/>
      <c r="L26" s="1"/>
      <c r="M26" s="1"/>
      <c r="N26" s="1"/>
      <c r="O26" s="1"/>
      <c r="P26" s="1"/>
      <c r="Q26" s="42"/>
      <c r="Y26" s="35"/>
      <c r="Z26" s="8"/>
      <c r="AA26" s="8"/>
    </row>
    <row r="27" spans="1:27" ht="15" thickBot="1" x14ac:dyDescent="0.35">
      <c r="A27" s="101" t="s">
        <v>90</v>
      </c>
      <c r="B27" s="102">
        <f>B25+B18</f>
        <v>154611.01</v>
      </c>
      <c r="C27" s="103" t="s">
        <v>97</v>
      </c>
      <c r="D27" s="101" t="s">
        <v>88</v>
      </c>
      <c r="E27" s="102">
        <f>E26+B14</f>
        <v>156294.24</v>
      </c>
      <c r="F27" s="103" t="s">
        <v>84</v>
      </c>
      <c r="G27" s="100">
        <f>E27-E20</f>
        <v>210</v>
      </c>
      <c r="H27" s="8" t="s">
        <v>100</v>
      </c>
      <c r="I27" s="8"/>
      <c r="J27" s="1"/>
      <c r="K27" s="1"/>
      <c r="L27" s="1"/>
      <c r="M27" s="1"/>
      <c r="N27" s="1"/>
      <c r="O27" s="1"/>
      <c r="P27" s="1"/>
      <c r="Q27" s="42"/>
      <c r="Y27" s="35"/>
      <c r="Z27" s="8"/>
      <c r="AA27" s="8"/>
    </row>
    <row r="28" spans="1:27" ht="15" thickBot="1" x14ac:dyDescent="0.35">
      <c r="A28" s="172" t="s">
        <v>93</v>
      </c>
      <c r="B28" s="173"/>
      <c r="C28" s="174"/>
      <c r="D28" s="172" t="s">
        <v>95</v>
      </c>
      <c r="E28" s="173"/>
      <c r="F28" s="174"/>
      <c r="I28" s="8"/>
      <c r="J28" s="1"/>
      <c r="K28" s="1"/>
      <c r="L28" s="1"/>
      <c r="M28" s="1"/>
      <c r="N28" s="1"/>
      <c r="O28" s="1"/>
      <c r="P28" s="1"/>
      <c r="Q28" s="42"/>
      <c r="Y28" s="35"/>
      <c r="Z28" s="8"/>
      <c r="AA28" s="8"/>
    </row>
    <row r="29" spans="1:27" x14ac:dyDescent="0.3">
      <c r="A29" s="104" t="s">
        <v>50</v>
      </c>
      <c r="B29" s="89">
        <f>(12)*(B10)*(B7)</f>
        <v>48</v>
      </c>
      <c r="C29" s="89" t="s">
        <v>85</v>
      </c>
      <c r="D29" s="175"/>
      <c r="E29" s="176"/>
      <c r="F29" s="177"/>
      <c r="I29" s="8"/>
      <c r="J29" s="1"/>
      <c r="K29" s="1"/>
      <c r="L29" s="1"/>
      <c r="M29" s="1"/>
      <c r="N29" s="1"/>
      <c r="O29" s="1"/>
      <c r="P29" s="1"/>
      <c r="Q29" s="42"/>
      <c r="Y29" s="35"/>
      <c r="Z29" s="8"/>
      <c r="AA29" s="8"/>
    </row>
    <row r="30" spans="1:27" x14ac:dyDescent="0.3">
      <c r="A30" s="92" t="s">
        <v>53</v>
      </c>
      <c r="B30" s="84" t="s">
        <v>54</v>
      </c>
      <c r="C30" s="84" t="s">
        <v>58</v>
      </c>
      <c r="D30" s="178"/>
      <c r="E30" s="179"/>
      <c r="F30" s="180"/>
      <c r="I30" s="8"/>
      <c r="J30" s="1"/>
      <c r="K30" s="1"/>
      <c r="L30" s="1"/>
      <c r="M30" s="1"/>
      <c r="N30" s="1"/>
      <c r="O30" s="1"/>
      <c r="P30" s="1"/>
      <c r="Q30" s="42"/>
      <c r="Y30" s="35"/>
      <c r="Z30" s="8"/>
      <c r="AA30" s="8"/>
    </row>
    <row r="31" spans="1:27" x14ac:dyDescent="0.3">
      <c r="A31" s="92" t="s">
        <v>55</v>
      </c>
      <c r="B31" s="84">
        <f>(12)*(B10)*(B7)</f>
        <v>48</v>
      </c>
      <c r="C31" s="84"/>
      <c r="D31" s="178"/>
      <c r="E31" s="179"/>
      <c r="F31" s="180"/>
      <c r="I31" s="8"/>
      <c r="J31" s="1"/>
      <c r="K31" s="1"/>
      <c r="L31" s="1"/>
      <c r="M31" s="1"/>
      <c r="N31" s="1"/>
      <c r="O31" s="1"/>
      <c r="P31" s="1"/>
      <c r="Q31" s="42"/>
      <c r="Y31" s="35"/>
      <c r="Z31" s="8"/>
      <c r="AA31" s="8"/>
    </row>
    <row r="32" spans="1:27" x14ac:dyDescent="0.3">
      <c r="A32" s="92" t="s">
        <v>56</v>
      </c>
      <c r="B32" s="84">
        <f>(36)*(B9-B10)*(B7)</f>
        <v>17.999999999999986</v>
      </c>
      <c r="C32" s="84" t="s">
        <v>60</v>
      </c>
      <c r="D32" s="178"/>
      <c r="E32" s="179"/>
      <c r="F32" s="180"/>
      <c r="I32" s="8"/>
      <c r="J32" s="1"/>
      <c r="K32" s="1"/>
      <c r="L32" s="1"/>
      <c r="M32" s="1"/>
      <c r="N32" s="1"/>
      <c r="O32" s="1"/>
      <c r="P32" s="1"/>
      <c r="Q32" s="42"/>
      <c r="Y32" s="35"/>
      <c r="Z32" s="8"/>
      <c r="AA32" s="8"/>
    </row>
    <row r="33" spans="1:27" x14ac:dyDescent="0.3">
      <c r="A33" s="92" t="s">
        <v>53</v>
      </c>
      <c r="B33" s="84">
        <f>B31+B32</f>
        <v>65.999999999999986</v>
      </c>
      <c r="C33" s="84"/>
      <c r="D33" s="178"/>
      <c r="E33" s="179"/>
      <c r="F33" s="180"/>
      <c r="I33" s="8"/>
      <c r="J33" s="1"/>
      <c r="K33" s="1"/>
      <c r="L33" s="1"/>
      <c r="M33" s="1"/>
      <c r="N33" s="1"/>
      <c r="O33" s="1"/>
      <c r="P33" s="1"/>
      <c r="Q33" s="42"/>
      <c r="Y33" s="35"/>
      <c r="Z33" s="8"/>
      <c r="AA33" s="8"/>
    </row>
    <row r="34" spans="1:27" ht="15" thickBot="1" x14ac:dyDescent="0.35">
      <c r="A34" s="106"/>
      <c r="B34" s="107"/>
      <c r="C34" s="107"/>
      <c r="D34" s="178"/>
      <c r="E34" s="179"/>
      <c r="F34" s="180"/>
      <c r="I34" s="8"/>
      <c r="J34" s="1"/>
      <c r="K34" s="1"/>
      <c r="L34" s="1"/>
      <c r="M34" s="1"/>
      <c r="N34" s="1"/>
      <c r="O34" s="1"/>
      <c r="P34" s="1"/>
      <c r="Q34" s="42"/>
      <c r="Y34" s="35"/>
      <c r="Z34" s="8"/>
      <c r="AA34" s="8"/>
    </row>
    <row r="35" spans="1:27" x14ac:dyDescent="0.3">
      <c r="A35" s="104" t="s">
        <v>88</v>
      </c>
      <c r="B35" s="108">
        <f>B36-B29</f>
        <v>154497.01</v>
      </c>
      <c r="C35" s="89" t="s">
        <v>89</v>
      </c>
      <c r="D35" s="86" t="s">
        <v>90</v>
      </c>
      <c r="E35" s="108">
        <f>E20</f>
        <v>156084.24</v>
      </c>
      <c r="F35" s="89" t="s">
        <v>98</v>
      </c>
      <c r="I35" s="8"/>
      <c r="J35" s="1"/>
      <c r="K35" s="1"/>
      <c r="L35" s="1"/>
      <c r="M35" s="1"/>
      <c r="N35" s="1"/>
      <c r="O35" s="1"/>
      <c r="P35" s="1"/>
      <c r="Q35" s="42"/>
      <c r="Y35" s="35"/>
      <c r="Z35" s="8"/>
      <c r="AA35" s="8"/>
    </row>
    <row r="36" spans="1:27" x14ac:dyDescent="0.3">
      <c r="A36" s="92" t="s">
        <v>87</v>
      </c>
      <c r="B36" s="94">
        <f>B22</f>
        <v>154545.01</v>
      </c>
      <c r="C36" s="84" t="s">
        <v>91</v>
      </c>
      <c r="D36" s="87"/>
      <c r="E36" s="94"/>
      <c r="F36" s="97"/>
      <c r="I36" s="8"/>
      <c r="J36" s="1"/>
      <c r="K36" s="1"/>
      <c r="L36" s="1"/>
      <c r="M36" s="1"/>
      <c r="N36" s="1"/>
      <c r="O36" s="1"/>
      <c r="P36" s="1"/>
      <c r="Q36" s="42"/>
      <c r="Y36" s="35"/>
      <c r="Z36" s="8"/>
      <c r="AA36" s="8"/>
    </row>
    <row r="37" spans="1:27" x14ac:dyDescent="0.3">
      <c r="A37" s="92"/>
      <c r="B37" s="94">
        <f>B36+B31</f>
        <v>154593.01</v>
      </c>
      <c r="C37" s="96">
        <v>1.6E-2</v>
      </c>
      <c r="D37" s="87"/>
      <c r="E37" s="94"/>
      <c r="F37" s="96"/>
      <c r="I37" s="8"/>
      <c r="J37" s="1"/>
      <c r="K37" s="1"/>
      <c r="L37" s="1"/>
      <c r="M37" s="1"/>
      <c r="N37" s="1"/>
      <c r="O37" s="1"/>
      <c r="P37" s="1"/>
      <c r="Q37" s="42"/>
      <c r="Y37" s="35"/>
      <c r="Z37" s="8"/>
      <c r="AA37" s="8"/>
    </row>
    <row r="38" spans="1:27" x14ac:dyDescent="0.3">
      <c r="A38" s="92"/>
      <c r="B38" s="94"/>
      <c r="C38" s="96"/>
      <c r="D38" s="87"/>
      <c r="E38" s="94">
        <f>E35+((B9-B10)*(36)*(B7))</f>
        <v>156102.24</v>
      </c>
      <c r="F38" s="96">
        <v>1.6E-2</v>
      </c>
      <c r="I38" s="8"/>
      <c r="J38" s="1"/>
      <c r="K38" s="1"/>
      <c r="L38" s="1"/>
      <c r="M38" s="1"/>
      <c r="N38" s="1"/>
      <c r="O38" s="1"/>
      <c r="P38" s="1"/>
      <c r="Q38" s="42"/>
      <c r="Y38" s="35"/>
      <c r="Z38" s="8"/>
      <c r="AA38" s="8"/>
    </row>
    <row r="39" spans="1:27" x14ac:dyDescent="0.3">
      <c r="A39" s="92"/>
      <c r="B39" s="94"/>
      <c r="C39" s="96"/>
      <c r="D39" s="87"/>
      <c r="E39" s="94">
        <f>E38+((B10)*(12)*(B7))</f>
        <v>156150.24</v>
      </c>
      <c r="F39" s="96" t="s">
        <v>99</v>
      </c>
      <c r="I39" s="8"/>
      <c r="J39" s="1"/>
      <c r="K39" s="1"/>
      <c r="L39" s="1"/>
      <c r="M39" s="1"/>
      <c r="N39" s="1"/>
      <c r="O39" s="1"/>
      <c r="P39" s="1"/>
      <c r="Q39" s="42"/>
      <c r="Y39" s="35"/>
      <c r="Z39" s="8"/>
      <c r="AA39" s="8"/>
    </row>
    <row r="40" spans="1:27" ht="15" thickBot="1" x14ac:dyDescent="0.35">
      <c r="A40" s="93" t="s">
        <v>90</v>
      </c>
      <c r="B40" s="95">
        <f>B36+B33</f>
        <v>154611.01</v>
      </c>
      <c r="C40" s="105">
        <v>1.7999999999999999E-2</v>
      </c>
      <c r="D40" s="88"/>
      <c r="E40" s="95">
        <f>E38+((B10+B10)*(12)*(B7))</f>
        <v>156198.24</v>
      </c>
      <c r="F40" s="85" t="s">
        <v>84</v>
      </c>
      <c r="I40" s="8"/>
      <c r="J40" s="1"/>
      <c r="K40" s="1"/>
      <c r="L40" s="1"/>
      <c r="M40" s="1"/>
      <c r="N40" s="1"/>
      <c r="O40" s="1"/>
      <c r="P40" s="1"/>
      <c r="Q40" s="42"/>
      <c r="Y40" s="35"/>
      <c r="Z40" s="8"/>
      <c r="AA40" s="8"/>
    </row>
    <row r="41" spans="1:27" x14ac:dyDescent="0.3">
      <c r="I41" s="8"/>
      <c r="J41" s="1"/>
      <c r="K41" s="1"/>
      <c r="L41" s="1"/>
      <c r="M41" s="1"/>
      <c r="N41" s="1"/>
      <c r="O41" s="1"/>
      <c r="P41" s="1"/>
      <c r="Q41" s="42"/>
      <c r="Y41" s="35"/>
      <c r="Z41" s="8"/>
      <c r="AA41" s="8"/>
    </row>
    <row r="42" spans="1:27" x14ac:dyDescent="0.3">
      <c r="I42" s="8"/>
      <c r="J42" s="1"/>
      <c r="K42" s="1"/>
      <c r="L42" s="1"/>
      <c r="M42" s="1"/>
      <c r="N42" s="1"/>
      <c r="O42" s="1"/>
      <c r="P42" s="1"/>
      <c r="Q42" s="42"/>
      <c r="Y42" s="35"/>
      <c r="Z42" s="8"/>
      <c r="AA42" s="8"/>
    </row>
    <row r="43" spans="1:27" x14ac:dyDescent="0.3">
      <c r="I43" s="8"/>
      <c r="J43" s="1"/>
      <c r="K43" s="1"/>
      <c r="L43" s="1"/>
      <c r="M43" s="1"/>
      <c r="N43" s="1"/>
      <c r="O43" s="1"/>
      <c r="P43" s="1"/>
      <c r="Q43" s="42"/>
      <c r="Y43" s="35"/>
      <c r="Z43" s="8"/>
      <c r="AA43" s="8"/>
    </row>
    <row r="44" spans="1:27" x14ac:dyDescent="0.3">
      <c r="I44" s="8"/>
      <c r="J44" s="1"/>
      <c r="K44" s="1"/>
      <c r="L44" s="1"/>
      <c r="M44" s="1"/>
      <c r="N44" s="1"/>
      <c r="O44" s="1"/>
      <c r="P44" s="1"/>
      <c r="Q44" s="42"/>
      <c r="Y44" s="35"/>
      <c r="Z44" s="8"/>
      <c r="AA44" s="8"/>
    </row>
    <row r="45" spans="1:27" x14ac:dyDescent="0.3">
      <c r="I45" s="8"/>
      <c r="J45" s="1"/>
      <c r="K45" s="1"/>
      <c r="L45" s="1"/>
      <c r="M45" s="1"/>
      <c r="N45" s="1"/>
      <c r="O45" s="1"/>
      <c r="P45" s="1"/>
      <c r="Q45" s="42"/>
      <c r="Y45" s="35"/>
      <c r="Z45" s="8"/>
      <c r="AA45" s="8"/>
    </row>
    <row r="46" spans="1:27" x14ac:dyDescent="0.3">
      <c r="I46" s="8"/>
      <c r="J46" s="1"/>
      <c r="K46" s="1"/>
      <c r="L46" s="1"/>
      <c r="M46" s="1"/>
      <c r="N46" s="1"/>
      <c r="O46" s="1"/>
      <c r="P46" s="1"/>
      <c r="Q46" s="42"/>
      <c r="Y46" s="35"/>
      <c r="Z46" s="8"/>
      <c r="AA46" s="8"/>
    </row>
    <row r="47" spans="1:27" x14ac:dyDescent="0.3">
      <c r="I47" s="8"/>
      <c r="J47" s="1"/>
      <c r="K47" s="1"/>
      <c r="L47" s="1"/>
      <c r="M47" s="1"/>
      <c r="N47" s="1"/>
      <c r="O47" s="1"/>
      <c r="P47" s="1"/>
      <c r="Q47" s="42"/>
      <c r="Y47" s="35"/>
      <c r="Z47" s="8"/>
      <c r="AA47" s="8"/>
    </row>
    <row r="48" spans="1:27" ht="15" thickBot="1" x14ac:dyDescent="0.35">
      <c r="I48" s="8"/>
      <c r="J48" s="1"/>
      <c r="K48" s="1"/>
      <c r="L48" s="1"/>
      <c r="M48" s="1"/>
      <c r="N48" s="1"/>
      <c r="O48" s="1"/>
      <c r="P48" s="1"/>
      <c r="Q48" s="42"/>
      <c r="Y48" s="35"/>
      <c r="Z48" s="8"/>
      <c r="AA48" s="8"/>
    </row>
    <row r="49" spans="1:27" x14ac:dyDescent="0.3">
      <c r="I49" s="63"/>
      <c r="J49" s="64"/>
      <c r="K49" s="64"/>
      <c r="L49" s="64"/>
      <c r="M49" s="64"/>
      <c r="N49" s="64"/>
      <c r="O49" s="64"/>
      <c r="P49" s="64"/>
      <c r="Q49" s="65"/>
      <c r="R49" s="65"/>
      <c r="S49" s="65"/>
      <c r="T49" s="65"/>
      <c r="U49" s="64"/>
      <c r="V49" s="64"/>
      <c r="W49" s="64"/>
      <c r="X49" s="64"/>
      <c r="Y49" s="66"/>
      <c r="Z49" s="8"/>
      <c r="AA49" s="8"/>
    </row>
    <row r="50" spans="1:27" x14ac:dyDescent="0.3">
      <c r="A50" s="35"/>
      <c r="I50" s="67"/>
      <c r="J50" s="165" t="s">
        <v>72</v>
      </c>
      <c r="K50" s="165"/>
      <c r="L50" s="165"/>
      <c r="M50" s="165"/>
      <c r="N50" s="165"/>
      <c r="O50" s="165"/>
      <c r="P50" s="165"/>
      <c r="Q50" s="49"/>
      <c r="R50" s="164" t="s">
        <v>71</v>
      </c>
      <c r="S50" s="164"/>
      <c r="T50" s="164"/>
      <c r="U50" s="164"/>
      <c r="V50" s="164"/>
      <c r="W50" s="164"/>
      <c r="X50" s="164"/>
      <c r="Y50" s="68"/>
      <c r="Z50" s="8"/>
      <c r="AA50" s="8"/>
    </row>
    <row r="51" spans="1:27" x14ac:dyDescent="0.3">
      <c r="I51" s="67"/>
      <c r="J51" s="48"/>
      <c r="K51" s="48"/>
      <c r="L51" s="48"/>
      <c r="M51" s="48"/>
      <c r="N51" s="48"/>
      <c r="O51" s="48"/>
      <c r="P51" s="48"/>
      <c r="Q51" s="49"/>
      <c r="R51" s="49"/>
      <c r="S51" s="49"/>
      <c r="T51" s="49"/>
      <c r="U51" s="48"/>
      <c r="V51" s="48"/>
      <c r="W51" s="48"/>
      <c r="X51" s="48"/>
      <c r="Y51" s="68"/>
      <c r="Z51" s="8"/>
      <c r="AA51" s="8"/>
    </row>
    <row r="52" spans="1:27" x14ac:dyDescent="0.3">
      <c r="I52" s="67"/>
      <c r="J52" s="48" t="s">
        <v>64</v>
      </c>
      <c r="K52" s="48" t="s">
        <v>69</v>
      </c>
      <c r="L52" s="48" t="s">
        <v>68</v>
      </c>
      <c r="M52" s="48" t="s">
        <v>66</v>
      </c>
      <c r="N52" s="50" t="s">
        <v>70</v>
      </c>
      <c r="O52" s="48" t="s">
        <v>65</v>
      </c>
      <c r="P52" s="49" t="s">
        <v>67</v>
      </c>
      <c r="Q52" s="50" t="s">
        <v>59</v>
      </c>
      <c r="R52" s="49" t="s">
        <v>67</v>
      </c>
      <c r="S52" s="48" t="s">
        <v>65</v>
      </c>
      <c r="T52" s="50" t="s">
        <v>70</v>
      </c>
      <c r="U52" s="48" t="s">
        <v>66</v>
      </c>
      <c r="V52" s="48" t="s">
        <v>68</v>
      </c>
      <c r="W52" s="48" t="s">
        <v>69</v>
      </c>
      <c r="X52" s="48" t="s">
        <v>64</v>
      </c>
      <c r="Y52" s="68"/>
      <c r="Z52" s="8"/>
      <c r="AA52" s="8"/>
    </row>
    <row r="53" spans="1:27" x14ac:dyDescent="0.3">
      <c r="I53" s="67"/>
      <c r="J53" s="112">
        <v>-0.04</v>
      </c>
      <c r="K53" s="112">
        <v>-1.6E-2</v>
      </c>
      <c r="L53" s="112">
        <v>-1.6E-2</v>
      </c>
      <c r="M53" s="112">
        <v>1.6E-2</v>
      </c>
      <c r="N53" s="51"/>
      <c r="O53" s="112">
        <v>-1.6E-2</v>
      </c>
      <c r="P53" s="112">
        <v>-0.04</v>
      </c>
      <c r="Q53" s="53">
        <f>(Q57)-B12</f>
        <v>154401.01</v>
      </c>
      <c r="R53" s="112">
        <v>-0.04</v>
      </c>
      <c r="S53" s="112">
        <v>-1.6E-2</v>
      </c>
      <c r="T53" s="114"/>
      <c r="U53" s="112">
        <v>1.6E-2</v>
      </c>
      <c r="V53" s="112">
        <v>-1.6E-2</v>
      </c>
      <c r="W53" s="112">
        <v>-1.6E-2</v>
      </c>
      <c r="X53" s="112">
        <v>-0.04</v>
      </c>
      <c r="Y53" s="69" t="s">
        <v>63</v>
      </c>
      <c r="Z53" s="8"/>
      <c r="AA53" s="8"/>
    </row>
    <row r="54" spans="1:27" x14ac:dyDescent="0.3">
      <c r="I54" s="67"/>
      <c r="J54" s="112">
        <v>-0.04</v>
      </c>
      <c r="K54" s="112">
        <v>-1.6E-2</v>
      </c>
      <c r="L54" s="112">
        <v>-1.6E-2</v>
      </c>
      <c r="M54" s="112">
        <v>1.6E-2</v>
      </c>
      <c r="N54" s="51"/>
      <c r="O54" s="112">
        <v>-1.6E-2</v>
      </c>
      <c r="P54" s="112">
        <v>-0.04</v>
      </c>
      <c r="Q54" s="55">
        <v>154425</v>
      </c>
      <c r="R54" s="112">
        <v>-0.04</v>
      </c>
      <c r="S54" s="112">
        <v>-1.6E-2</v>
      </c>
      <c r="T54" s="114"/>
      <c r="U54" s="112">
        <v>1.6E-2</v>
      </c>
      <c r="V54" s="113">
        <f>((Q54-$Q$53)/(($B$7)*(24)))+$V$53</f>
        <v>-1.2001666666668218E-2</v>
      </c>
      <c r="W54" s="113">
        <f t="shared" ref="W54:W62" si="0">((Q54-$Q$53)/(($B$7)*(24)))+($W$53)</f>
        <v>-1.2001666666668218E-2</v>
      </c>
      <c r="X54" s="112">
        <v>-0.04</v>
      </c>
      <c r="Y54" s="69"/>
      <c r="Z54" s="8"/>
      <c r="AA54" s="8"/>
    </row>
    <row r="55" spans="1:27" x14ac:dyDescent="0.3">
      <c r="I55" s="67"/>
      <c r="J55" s="112">
        <v>-0.04</v>
      </c>
      <c r="K55" s="112">
        <v>-1.6E-2</v>
      </c>
      <c r="L55" s="112">
        <v>-1.6E-2</v>
      </c>
      <c r="M55" s="112">
        <v>1.6E-2</v>
      </c>
      <c r="N55" s="51"/>
      <c r="O55" s="112">
        <v>-1.6E-2</v>
      </c>
      <c r="P55" s="112">
        <v>-0.04</v>
      </c>
      <c r="Q55" s="55">
        <v>154450</v>
      </c>
      <c r="R55" s="112">
        <v>-0.04</v>
      </c>
      <c r="S55" s="112">
        <v>-1.6E-2</v>
      </c>
      <c r="T55" s="114"/>
      <c r="U55" s="112">
        <v>1.6E-2</v>
      </c>
      <c r="V55" s="113">
        <f t="shared" ref="V55:V62" si="1">((Q55-$Q$53)/(($B$7)*(24)))+$V$53</f>
        <v>-7.8350000000015525E-3</v>
      </c>
      <c r="W55" s="113">
        <f t="shared" si="0"/>
        <v>-7.8350000000015525E-3</v>
      </c>
      <c r="X55" s="112">
        <v>-0.04</v>
      </c>
      <c r="Y55" s="69"/>
      <c r="Z55" s="8"/>
      <c r="AA55" s="8"/>
    </row>
    <row r="56" spans="1:27" x14ac:dyDescent="0.3">
      <c r="I56" s="67"/>
      <c r="J56" s="112">
        <v>-0.04</v>
      </c>
      <c r="K56" s="112">
        <v>-1.6E-2</v>
      </c>
      <c r="L56" s="112">
        <v>-1.6E-2</v>
      </c>
      <c r="M56" s="112">
        <v>1.6E-2</v>
      </c>
      <c r="N56" s="51"/>
      <c r="O56" s="112">
        <v>-1.6E-2</v>
      </c>
      <c r="P56" s="112">
        <v>-0.04</v>
      </c>
      <c r="Q56" s="55">
        <v>154475</v>
      </c>
      <c r="R56" s="112">
        <v>-0.04</v>
      </c>
      <c r="S56" s="112">
        <v>-1.6E-2</v>
      </c>
      <c r="T56" s="114"/>
      <c r="U56" s="112">
        <v>1.6E-2</v>
      </c>
      <c r="V56" s="113">
        <f t="shared" si="1"/>
        <v>-3.6683333333348851E-3</v>
      </c>
      <c r="W56" s="113">
        <f t="shared" si="0"/>
        <v>-3.6683333333348851E-3</v>
      </c>
      <c r="X56" s="112">
        <v>-0.04</v>
      </c>
      <c r="Y56" s="69"/>
      <c r="Z56" s="8"/>
      <c r="AA56" s="8"/>
    </row>
    <row r="57" spans="1:27" x14ac:dyDescent="0.3">
      <c r="I57" s="70" t="s">
        <v>78</v>
      </c>
      <c r="J57" s="112">
        <v>-0.04</v>
      </c>
      <c r="K57" s="112">
        <v>-1.6E-2</v>
      </c>
      <c r="L57" s="112">
        <v>-1.6E-2</v>
      </c>
      <c r="M57" s="112">
        <v>1.6E-2</v>
      </c>
      <c r="N57" s="51"/>
      <c r="O57" s="112">
        <v>-1.6E-2</v>
      </c>
      <c r="P57" s="112">
        <v>-0.04</v>
      </c>
      <c r="Q57" s="53">
        <f>(Q62)-B17</f>
        <v>154497.01</v>
      </c>
      <c r="R57" s="112">
        <v>-0.04</v>
      </c>
      <c r="S57" s="112">
        <v>-1.6E-2</v>
      </c>
      <c r="T57" s="114"/>
      <c r="U57" s="112">
        <v>1.6E-2</v>
      </c>
      <c r="V57" s="113">
        <f t="shared" si="1"/>
        <v>0</v>
      </c>
      <c r="W57" s="113">
        <f t="shared" si="0"/>
        <v>0</v>
      </c>
      <c r="X57" s="112">
        <v>-0.04</v>
      </c>
      <c r="Y57" s="69" t="s">
        <v>77</v>
      </c>
      <c r="Z57" s="8"/>
      <c r="AA57" s="8"/>
    </row>
    <row r="58" spans="1:27" x14ac:dyDescent="0.3">
      <c r="I58" s="67"/>
      <c r="J58" s="112">
        <v>-0.04</v>
      </c>
      <c r="K58" s="112">
        <v>-1.6E-2</v>
      </c>
      <c r="L58" s="112">
        <v>-1.6E-2</v>
      </c>
      <c r="M58" s="113">
        <f>((($M$57))-((Q58-$Q$57)/(($B$7)*(12))))</f>
        <v>1.5003333333336439E-2</v>
      </c>
      <c r="N58" s="51"/>
      <c r="O58" s="113">
        <f t="shared" ref="O58:O66" si="2">-M58</f>
        <v>-1.5003333333336439E-2</v>
      </c>
      <c r="P58" s="112">
        <v>-0.04</v>
      </c>
      <c r="Q58" s="55">
        <v>154500</v>
      </c>
      <c r="R58" s="112">
        <v>-0.04</v>
      </c>
      <c r="S58" s="112">
        <v>-1.6E-2</v>
      </c>
      <c r="T58" s="114"/>
      <c r="U58" s="112">
        <v>1.6E-2</v>
      </c>
      <c r="V58" s="113">
        <f t="shared" si="1"/>
        <v>4.9833333333178242E-4</v>
      </c>
      <c r="W58" s="113">
        <f t="shared" si="0"/>
        <v>4.9833333333178242E-4</v>
      </c>
      <c r="X58" s="112">
        <v>-0.04</v>
      </c>
      <c r="Y58" s="69"/>
      <c r="Z58" s="8"/>
      <c r="AA58" s="8"/>
    </row>
    <row r="59" spans="1:27" x14ac:dyDescent="0.3">
      <c r="I59" s="67"/>
      <c r="J59" s="112">
        <v>-0.04</v>
      </c>
      <c r="K59" s="112">
        <v>-1.6E-2</v>
      </c>
      <c r="L59" s="112">
        <v>-1.6E-2</v>
      </c>
      <c r="M59" s="113">
        <f>((($M$57))-((Q59-$Q$57)/(($B$7)*(12))))</f>
        <v>6.670000000003104E-3</v>
      </c>
      <c r="N59" s="51"/>
      <c r="O59" s="113">
        <f t="shared" ref="O59" si="3">-M59</f>
        <v>-6.670000000003104E-3</v>
      </c>
      <c r="P59" s="112">
        <v>-0.04</v>
      </c>
      <c r="Q59" s="55">
        <v>154525</v>
      </c>
      <c r="R59" s="112">
        <v>-0.04</v>
      </c>
      <c r="S59" s="112">
        <v>-1.6E-2</v>
      </c>
      <c r="T59" s="114"/>
      <c r="U59" s="112">
        <v>1.6E-2</v>
      </c>
      <c r="V59" s="113">
        <f t="shared" ref="V59" si="4">((Q59-$Q$53)/(($B$7)*(24)))+$V$53</f>
        <v>4.6649999999984482E-3</v>
      </c>
      <c r="W59" s="113">
        <f t="shared" ref="W59" si="5">((Q59-$Q$53)/(($B$7)*(24)))+($W$53)</f>
        <v>4.6649999999984482E-3</v>
      </c>
      <c r="X59" s="112">
        <v>-0.04</v>
      </c>
      <c r="Y59" s="69"/>
      <c r="Z59" s="8"/>
      <c r="AA59" s="8"/>
    </row>
    <row r="60" spans="1:27" x14ac:dyDescent="0.3">
      <c r="I60" s="70" t="s">
        <v>77</v>
      </c>
      <c r="J60" s="112">
        <v>-0.04</v>
      </c>
      <c r="K60" s="112">
        <v>-1.6E-2</v>
      </c>
      <c r="L60" s="112">
        <v>-1.6E-2</v>
      </c>
      <c r="M60" s="113">
        <f>((($M$57))-((Q60-$Q$57)/(($B$7)*(12))))</f>
        <v>0</v>
      </c>
      <c r="N60" s="51"/>
      <c r="O60" s="113">
        <f t="shared" si="2"/>
        <v>0</v>
      </c>
      <c r="P60" s="112">
        <v>-0.04</v>
      </c>
      <c r="Q60" s="53">
        <f>Q57+(B12/2)</f>
        <v>154545.01</v>
      </c>
      <c r="R60" s="112">
        <v>-0.04</v>
      </c>
      <c r="S60" s="112">
        <v>-1.6E-2</v>
      </c>
      <c r="T60" s="114"/>
      <c r="U60" s="112">
        <v>1.6E-2</v>
      </c>
      <c r="V60" s="113">
        <f t="shared" si="1"/>
        <v>8.0000000000000002E-3</v>
      </c>
      <c r="W60" s="113">
        <f t="shared" si="0"/>
        <v>8.0000000000000002E-3</v>
      </c>
      <c r="X60" s="112">
        <v>-0.04</v>
      </c>
      <c r="Y60" s="69"/>
      <c r="Z60" s="8"/>
      <c r="AA60" s="8"/>
    </row>
    <row r="61" spans="1:27" x14ac:dyDescent="0.3">
      <c r="I61" s="67"/>
      <c r="J61" s="112">
        <v>-0.04</v>
      </c>
      <c r="K61" s="112">
        <v>-1.6E-2</v>
      </c>
      <c r="L61" s="112">
        <v>-1.6E-2</v>
      </c>
      <c r="M61" s="113">
        <f>((($M$57))-((Q61-$Q$57)/(($B$7)*(12))))</f>
        <v>-1.6633333333302275E-3</v>
      </c>
      <c r="N61" s="51"/>
      <c r="O61" s="113">
        <f t="shared" si="2"/>
        <v>1.6633333333302275E-3</v>
      </c>
      <c r="P61" s="112">
        <v>-0.04</v>
      </c>
      <c r="Q61" s="55">
        <v>154550</v>
      </c>
      <c r="R61" s="112">
        <v>-0.04</v>
      </c>
      <c r="S61" s="112">
        <v>-1.6E-2</v>
      </c>
      <c r="T61" s="114"/>
      <c r="U61" s="112">
        <v>1.6E-2</v>
      </c>
      <c r="V61" s="113">
        <f t="shared" si="1"/>
        <v>8.8316666666651139E-3</v>
      </c>
      <c r="W61" s="113">
        <f t="shared" si="0"/>
        <v>8.8316666666651139E-3</v>
      </c>
      <c r="X61" s="112">
        <v>-0.04</v>
      </c>
      <c r="Y61" s="69"/>
      <c r="Z61" s="8"/>
      <c r="AA61" s="8"/>
    </row>
    <row r="62" spans="1:27" x14ac:dyDescent="0.3">
      <c r="I62" s="71" t="s">
        <v>43</v>
      </c>
      <c r="J62" s="112">
        <v>-0.04</v>
      </c>
      <c r="K62" s="112">
        <v>-1.6E-2</v>
      </c>
      <c r="L62" s="112">
        <v>-1.6E-2</v>
      </c>
      <c r="M62" s="113">
        <f t="shared" ref="M62:M63" si="6">((($M$57))-((Q62-$Q$57)/(($B$7)*(12))))</f>
        <v>-9.3333333333333324E-3</v>
      </c>
      <c r="N62" s="51"/>
      <c r="O62" s="113">
        <f t="shared" si="2"/>
        <v>9.3333333333333324E-3</v>
      </c>
      <c r="P62" s="115">
        <v>-0.04</v>
      </c>
      <c r="Q62" s="53">
        <f>B3</f>
        <v>154573.01</v>
      </c>
      <c r="R62" s="112">
        <v>-0.04</v>
      </c>
      <c r="S62" s="115">
        <f>-U62</f>
        <v>-1.6E-2</v>
      </c>
      <c r="T62" s="114"/>
      <c r="U62" s="112">
        <v>1.6E-2</v>
      </c>
      <c r="V62" s="113">
        <f t="shared" si="1"/>
        <v>1.2666666666666666E-2</v>
      </c>
      <c r="W62" s="113">
        <f t="shared" si="0"/>
        <v>1.2666666666666666E-2</v>
      </c>
      <c r="X62" s="112">
        <v>-0.04</v>
      </c>
      <c r="Y62" s="69" t="s">
        <v>43</v>
      </c>
      <c r="Z62" s="8"/>
      <c r="AA62" s="8"/>
    </row>
    <row r="63" spans="1:27" x14ac:dyDescent="0.3">
      <c r="I63" s="67"/>
      <c r="J63" s="112">
        <v>-0.04</v>
      </c>
      <c r="K63" s="112">
        <v>-1.6E-2</v>
      </c>
      <c r="L63" s="112">
        <v>-1.6E-2</v>
      </c>
      <c r="M63" s="113">
        <f t="shared" si="6"/>
        <v>-9.9966666666635624E-3</v>
      </c>
      <c r="N63" s="51"/>
      <c r="O63" s="113">
        <f t="shared" si="2"/>
        <v>9.9966666666635624E-3</v>
      </c>
      <c r="P63" s="115">
        <v>-0.04</v>
      </c>
      <c r="Q63" s="55">
        <v>154575</v>
      </c>
      <c r="R63" s="112">
        <v>-0.04</v>
      </c>
      <c r="S63" s="115">
        <f t="shared" ref="S63:S66" si="7">-U63</f>
        <v>-1.6E-2</v>
      </c>
      <c r="T63" s="114"/>
      <c r="U63" s="112">
        <v>1.6E-2</v>
      </c>
      <c r="V63" s="113">
        <f t="shared" ref="V63:V64" si="8">((Q63-$Q$53)/(($B$7)*(24)))+$V$53</f>
        <v>1.299833333333178E-2</v>
      </c>
      <c r="W63" s="113">
        <f t="shared" ref="W63:W64" si="9">((Q63-$Q$53)/(($B$7)*(24)))+($W$53)</f>
        <v>1.299833333333178E-2</v>
      </c>
      <c r="X63" s="112">
        <v>-0.04</v>
      </c>
      <c r="Y63" s="69"/>
      <c r="Z63" s="8"/>
      <c r="AA63" s="8"/>
    </row>
    <row r="64" spans="1:27" x14ac:dyDescent="0.3">
      <c r="I64" s="67"/>
      <c r="J64" s="112">
        <v>-0.04</v>
      </c>
      <c r="K64" s="112">
        <v>-1.6E-2</v>
      </c>
      <c r="L64" s="112">
        <v>-1.6E-2</v>
      </c>
      <c r="M64" s="113">
        <f>((($M$57))-((Q64-$Q$57)/(($B$7)*(12))))</f>
        <v>-1.6E-2</v>
      </c>
      <c r="N64" s="51"/>
      <c r="O64" s="113">
        <f t="shared" si="2"/>
        <v>1.6E-2</v>
      </c>
      <c r="P64" s="115">
        <v>-0.04</v>
      </c>
      <c r="Q64" s="53">
        <f>Q53+B12+B14</f>
        <v>154593.01</v>
      </c>
      <c r="R64" s="112">
        <v>-0.04</v>
      </c>
      <c r="S64" s="113">
        <f t="shared" si="7"/>
        <v>-1.6E-2</v>
      </c>
      <c r="T64" s="114"/>
      <c r="U64" s="112">
        <v>1.6E-2</v>
      </c>
      <c r="V64" s="113">
        <f t="shared" si="8"/>
        <v>1.6E-2</v>
      </c>
      <c r="W64" s="113">
        <f t="shared" si="9"/>
        <v>1.6E-2</v>
      </c>
      <c r="X64" s="112">
        <v>-0.04</v>
      </c>
      <c r="Y64" s="69"/>
      <c r="Z64" s="8"/>
      <c r="AA64" s="8"/>
    </row>
    <row r="65" spans="1:27" x14ac:dyDescent="0.3">
      <c r="I65" s="67"/>
      <c r="J65" s="112">
        <v>-0.04</v>
      </c>
      <c r="K65" s="113">
        <f>$K$64-((Q65-$Q$64)/(($B$7)*(36)))</f>
        <v>-1.6776666666665632E-2</v>
      </c>
      <c r="L65" s="113">
        <f>$L$64-((Q65-$Q$64)/(($B$7)*(36)))</f>
        <v>-1.6776666666665632E-2</v>
      </c>
      <c r="M65" s="113">
        <f>$M$64-((Q65-$Q$64)/(($B$7)*(36)))</f>
        <v>-1.6776666666665632E-2</v>
      </c>
      <c r="N65" s="51"/>
      <c r="O65" s="113">
        <f t="shared" si="2"/>
        <v>1.6776666666665632E-2</v>
      </c>
      <c r="P65" s="113">
        <v>-0.04</v>
      </c>
      <c r="Q65" s="55">
        <v>154600</v>
      </c>
      <c r="R65" s="112">
        <v>-0.04</v>
      </c>
      <c r="S65" s="113">
        <f t="shared" si="7"/>
        <v>-1.6776666666665632E-2</v>
      </c>
      <c r="T65" s="114"/>
      <c r="U65" s="113">
        <f>$U$64+((Q65-$Q$64)/(($B$7)*(36)))</f>
        <v>1.6776666666665632E-2</v>
      </c>
      <c r="V65" s="113">
        <f>((Q65-$Q$64)/(($B$7)*(36)))+$V$64</f>
        <v>1.6776666666665632E-2</v>
      </c>
      <c r="W65" s="113">
        <f>((Q65-$Q$64)/(($B$7)*(36)))+($W$64)</f>
        <v>1.6776666666665632E-2</v>
      </c>
      <c r="X65" s="112">
        <v>-0.04</v>
      </c>
      <c r="Y65" s="69"/>
      <c r="Z65" s="8"/>
      <c r="AA65" s="8"/>
    </row>
    <row r="66" spans="1:27" x14ac:dyDescent="0.3">
      <c r="I66" s="70" t="s">
        <v>79</v>
      </c>
      <c r="J66" s="112">
        <v>-0.04</v>
      </c>
      <c r="K66" s="113">
        <f>$K$64-((Q66-$Q$64)/(($B$7)*(36)))</f>
        <v>-1.8000000000000002E-2</v>
      </c>
      <c r="L66" s="113">
        <f>$L$64-((Q66-$Q$64)/(($B$7)*(36)))</f>
        <v>-1.8000000000000002E-2</v>
      </c>
      <c r="M66" s="113">
        <f>$M$64-((Q66-$Q$64)/(($B$7)*(36)))</f>
        <v>-1.8000000000000002E-2</v>
      </c>
      <c r="N66" s="51"/>
      <c r="O66" s="113">
        <f t="shared" si="2"/>
        <v>1.8000000000000002E-2</v>
      </c>
      <c r="P66" s="113">
        <v>-0.04</v>
      </c>
      <c r="Q66" s="53">
        <f>Q62+(B18)</f>
        <v>154611.01</v>
      </c>
      <c r="R66" s="112">
        <v>-0.04</v>
      </c>
      <c r="S66" s="113">
        <f t="shared" si="7"/>
        <v>-1.8000000000000002E-2</v>
      </c>
      <c r="T66" s="114"/>
      <c r="U66" s="113">
        <f>$U$64+((Q66-$Q$64)/(($B$7)*(36)))</f>
        <v>1.8000000000000002E-2</v>
      </c>
      <c r="V66" s="113">
        <f>((Q66-$Q$64)/(($B$7)*(36)))+$V$64</f>
        <v>1.8000000000000002E-2</v>
      </c>
      <c r="W66" s="113">
        <f>((Q66-$Q$64)/(($B$7)*(36)))+($W$64)</f>
        <v>1.8000000000000002E-2</v>
      </c>
      <c r="X66" s="112">
        <v>-0.04</v>
      </c>
      <c r="Y66" s="69" t="s">
        <v>79</v>
      </c>
      <c r="Z66" s="8"/>
      <c r="AA66" s="8"/>
    </row>
    <row r="67" spans="1:27" x14ac:dyDescent="0.3">
      <c r="I67" s="67"/>
      <c r="J67" s="112">
        <v>-0.04</v>
      </c>
      <c r="K67" s="112">
        <v>-1.7999999999999999E-2</v>
      </c>
      <c r="L67" s="112">
        <f t="shared" ref="L67:L69" si="10">L66</f>
        <v>-1.8000000000000002E-2</v>
      </c>
      <c r="M67" s="112">
        <v>-1.7999999999999999E-2</v>
      </c>
      <c r="N67" s="51"/>
      <c r="O67" s="112">
        <f>-M67</f>
        <v>1.7999999999999999E-2</v>
      </c>
      <c r="P67" s="112">
        <v>-0.04</v>
      </c>
      <c r="Q67" s="55">
        <v>154625</v>
      </c>
      <c r="R67" s="112">
        <v>-0.04</v>
      </c>
      <c r="S67" s="112">
        <f>-U67</f>
        <v>-1.7999999999999999E-2</v>
      </c>
      <c r="T67" s="114"/>
      <c r="U67" s="112">
        <v>1.7999999999999999E-2</v>
      </c>
      <c r="V67" s="112">
        <v>1.7999999999999999E-2</v>
      </c>
      <c r="W67" s="112">
        <v>1.7999999999999999E-2</v>
      </c>
      <c r="X67" s="112">
        <v>-0.04</v>
      </c>
      <c r="Y67" s="69"/>
      <c r="Z67" s="8"/>
      <c r="AA67" s="8"/>
    </row>
    <row r="68" spans="1:27" x14ac:dyDescent="0.3">
      <c r="I68" s="67"/>
      <c r="J68" s="112">
        <v>-0.04</v>
      </c>
      <c r="K68" s="112">
        <v>-1.7999999999999999E-2</v>
      </c>
      <c r="L68" s="112">
        <f t="shared" si="10"/>
        <v>-1.8000000000000002E-2</v>
      </c>
      <c r="M68" s="112">
        <v>-1.7999999999999999E-2</v>
      </c>
      <c r="N68" s="51"/>
      <c r="O68" s="112">
        <f t="shared" ref="O68:O69" si="11">-M68</f>
        <v>1.7999999999999999E-2</v>
      </c>
      <c r="P68" s="112">
        <v>-0.04</v>
      </c>
      <c r="Q68" s="55">
        <v>154650</v>
      </c>
      <c r="R68" s="112">
        <v>-0.04</v>
      </c>
      <c r="S68" s="112">
        <f t="shared" ref="S68:S69" si="12">-U68</f>
        <v>-1.7999999999999999E-2</v>
      </c>
      <c r="T68" s="114"/>
      <c r="U68" s="112">
        <v>1.7999999999999999E-2</v>
      </c>
      <c r="V68" s="112">
        <v>1.7999999999999999E-2</v>
      </c>
      <c r="W68" s="112">
        <v>1.7999999999999999E-2</v>
      </c>
      <c r="X68" s="112">
        <v>-0.04</v>
      </c>
      <c r="Y68" s="69"/>
      <c r="Z68" s="8"/>
      <c r="AA68" s="8"/>
    </row>
    <row r="69" spans="1:27" x14ac:dyDescent="0.3">
      <c r="I69" s="67"/>
      <c r="J69" s="112">
        <v>-0.04</v>
      </c>
      <c r="K69" s="112">
        <v>-1.7999999999999999E-2</v>
      </c>
      <c r="L69" s="112">
        <f t="shared" si="10"/>
        <v>-1.8000000000000002E-2</v>
      </c>
      <c r="M69" s="112">
        <v>-1.7999999999999999E-2</v>
      </c>
      <c r="N69" s="51"/>
      <c r="O69" s="112">
        <f t="shared" si="11"/>
        <v>1.7999999999999999E-2</v>
      </c>
      <c r="P69" s="112">
        <v>-0.04</v>
      </c>
      <c r="Q69" s="55">
        <v>154675</v>
      </c>
      <c r="R69" s="112">
        <v>-0.04</v>
      </c>
      <c r="S69" s="112">
        <f t="shared" si="12"/>
        <v>-1.7999999999999999E-2</v>
      </c>
      <c r="T69" s="114"/>
      <c r="U69" s="112">
        <v>1.7999999999999999E-2</v>
      </c>
      <c r="V69" s="112">
        <v>1.7999999999999999E-2</v>
      </c>
      <c r="W69" s="112">
        <v>1.7999999999999999E-2</v>
      </c>
      <c r="X69" s="112">
        <v>-0.04</v>
      </c>
      <c r="Y69" s="69"/>
      <c r="Z69" s="8"/>
      <c r="AA69" s="8"/>
    </row>
    <row r="70" spans="1:27" x14ac:dyDescent="0.3">
      <c r="I70" s="67"/>
      <c r="J70" s="166" t="s">
        <v>76</v>
      </c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69"/>
      <c r="Z70" s="8"/>
      <c r="AA70" s="8"/>
    </row>
    <row r="71" spans="1:27" x14ac:dyDescent="0.3">
      <c r="I71" s="67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69"/>
      <c r="Z71" s="8"/>
      <c r="AA71" s="8"/>
    </row>
    <row r="72" spans="1:27" ht="52.2" customHeight="1" x14ac:dyDescent="0.3">
      <c r="I72" s="67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69"/>
      <c r="Z72" s="8"/>
      <c r="AA72" s="8"/>
    </row>
    <row r="73" spans="1:27" ht="14.4" customHeight="1" x14ac:dyDescent="0.3">
      <c r="I73" s="67"/>
      <c r="J73" s="112">
        <v>-0.04</v>
      </c>
      <c r="K73" s="112">
        <v>-1.7999999999999999E-2</v>
      </c>
      <c r="L73" s="112">
        <v>-1.7999999999999999E-2</v>
      </c>
      <c r="M73" s="112">
        <v>-1.7999999999999999E-2</v>
      </c>
      <c r="N73" s="51"/>
      <c r="O73" s="112">
        <f>-M73</f>
        <v>1.7999999999999999E-2</v>
      </c>
      <c r="P73" s="112">
        <v>-0.04</v>
      </c>
      <c r="Q73" s="50">
        <v>156025</v>
      </c>
      <c r="R73" s="112">
        <v>-0.04</v>
      </c>
      <c r="S73" s="112">
        <f>-U73</f>
        <v>-1.7999999999999999E-2</v>
      </c>
      <c r="T73" s="51"/>
      <c r="U73" s="112">
        <v>1.7999999999999999E-2</v>
      </c>
      <c r="V73" s="112">
        <v>1.7999999999999999E-2</v>
      </c>
      <c r="W73" s="112">
        <v>1.7999999999999999E-2</v>
      </c>
      <c r="X73" s="112">
        <v>-0.04</v>
      </c>
      <c r="Y73" s="69"/>
      <c r="Z73" s="8"/>
      <c r="AA73" s="8"/>
    </row>
    <row r="74" spans="1:27" s="45" customFormat="1" ht="14.4" customHeight="1" x14ac:dyDescent="0.3">
      <c r="A74" s="35"/>
      <c r="B74" s="35"/>
      <c r="C74" s="35"/>
      <c r="D74" s="35"/>
      <c r="E74" s="35"/>
      <c r="F74" s="35"/>
      <c r="G74" s="35"/>
      <c r="H74" s="35"/>
      <c r="I74" s="70"/>
      <c r="J74" s="112">
        <v>-0.04</v>
      </c>
      <c r="K74" s="112">
        <v>-1.7999999999999999E-2</v>
      </c>
      <c r="L74" s="112">
        <v>-1.7999999999999999E-2</v>
      </c>
      <c r="M74" s="112">
        <v>-1.7999999999999999E-2</v>
      </c>
      <c r="N74" s="51"/>
      <c r="O74" s="112">
        <f t="shared" ref="O74:O76" si="13">-M74</f>
        <v>1.7999999999999999E-2</v>
      </c>
      <c r="P74" s="112">
        <v>-0.04</v>
      </c>
      <c r="Q74" s="50">
        <v>156050</v>
      </c>
      <c r="R74" s="112">
        <v>-0.04</v>
      </c>
      <c r="S74" s="112">
        <f t="shared" ref="S74:S76" si="14">-U74</f>
        <v>-1.7999999999999999E-2</v>
      </c>
      <c r="T74" s="51"/>
      <c r="U74" s="112">
        <v>1.7999999999999999E-2</v>
      </c>
      <c r="V74" s="112">
        <v>1.7999999999999999E-2</v>
      </c>
      <c r="W74" s="112">
        <v>1.7999999999999999E-2</v>
      </c>
      <c r="X74" s="112">
        <v>-0.04</v>
      </c>
      <c r="Y74" s="69"/>
      <c r="Z74" s="35"/>
      <c r="AA74" s="35"/>
    </row>
    <row r="75" spans="1:27" s="45" customFormat="1" x14ac:dyDescent="0.3">
      <c r="A75" s="35"/>
      <c r="B75" s="35"/>
      <c r="C75" s="35"/>
      <c r="D75" s="35"/>
      <c r="E75" s="35"/>
      <c r="F75" s="35"/>
      <c r="G75" s="35"/>
      <c r="H75" s="35"/>
      <c r="I75" s="70"/>
      <c r="J75" s="112">
        <v>-0.04</v>
      </c>
      <c r="K75" s="112">
        <v>-1.7999999999999999E-2</v>
      </c>
      <c r="L75" s="112">
        <v>-1.7999999999999999E-2</v>
      </c>
      <c r="M75" s="112">
        <v>-1.7999999999999999E-2</v>
      </c>
      <c r="N75" s="51"/>
      <c r="O75" s="112">
        <f t="shared" si="13"/>
        <v>1.7999999999999999E-2</v>
      </c>
      <c r="P75" s="112">
        <v>-0.04</v>
      </c>
      <c r="Q75" s="55">
        <v>156075</v>
      </c>
      <c r="R75" s="112">
        <v>-0.04</v>
      </c>
      <c r="S75" s="112">
        <f t="shared" si="14"/>
        <v>-1.7999999999999999E-2</v>
      </c>
      <c r="T75" s="51"/>
      <c r="U75" s="112">
        <v>1.7999999999999999E-2</v>
      </c>
      <c r="V75" s="112">
        <v>1.7999999999999999E-2</v>
      </c>
      <c r="W75" s="112">
        <v>1.7999999999999999E-2</v>
      </c>
      <c r="X75" s="112">
        <v>-0.04</v>
      </c>
      <c r="Y75" s="69"/>
      <c r="Z75" s="35"/>
      <c r="AA75" s="35"/>
    </row>
    <row r="76" spans="1:27" x14ac:dyDescent="0.3">
      <c r="I76" s="70" t="s">
        <v>80</v>
      </c>
      <c r="J76" s="112">
        <v>-0.04</v>
      </c>
      <c r="K76" s="112">
        <v>-1.7999999999999999E-2</v>
      </c>
      <c r="L76" s="112">
        <v>-1.7999999999999999E-2</v>
      </c>
      <c r="M76" s="112">
        <v>-1.7999999999999999E-2</v>
      </c>
      <c r="N76" s="51"/>
      <c r="O76" s="112">
        <f t="shared" si="13"/>
        <v>1.7999999999999999E-2</v>
      </c>
      <c r="P76" s="112">
        <v>-0.04</v>
      </c>
      <c r="Q76" s="53">
        <f>Q80-B18</f>
        <v>156084.24</v>
      </c>
      <c r="R76" s="112">
        <v>-0.04</v>
      </c>
      <c r="S76" s="112">
        <f t="shared" si="14"/>
        <v>-1.7999999999999999E-2</v>
      </c>
      <c r="T76" s="51"/>
      <c r="U76" s="112">
        <v>1.7999999999999999E-2</v>
      </c>
      <c r="V76" s="112">
        <v>1.7999999999999999E-2</v>
      </c>
      <c r="W76" s="112">
        <v>1.7999999999999999E-2</v>
      </c>
      <c r="X76" s="112">
        <v>-0.04</v>
      </c>
      <c r="Y76" s="68" t="s">
        <v>80</v>
      </c>
      <c r="Z76" s="8"/>
      <c r="AA76" s="8"/>
    </row>
    <row r="77" spans="1:27" x14ac:dyDescent="0.3">
      <c r="I77" s="70"/>
      <c r="J77" s="112">
        <v>-0.04</v>
      </c>
      <c r="K77" s="113">
        <f>$K$76+((Q77-$Q$76)/(($B$7)*(36)))</f>
        <v>-1.6248888888887852E-2</v>
      </c>
      <c r="L77" s="113">
        <f>$L$76+((Q77-$Q$76)/(($B$7)*(36)))</f>
        <v>-1.6248888888887852E-2</v>
      </c>
      <c r="M77" s="113">
        <f>$M$76+((Q77-$Q$76)/(($B$7)*(36)))</f>
        <v>-1.6248888888887852E-2</v>
      </c>
      <c r="N77" s="51"/>
      <c r="O77" s="113">
        <f>-M77</f>
        <v>1.6248888888887852E-2</v>
      </c>
      <c r="P77" s="113">
        <v>-0.04</v>
      </c>
      <c r="Q77" s="55">
        <v>156100</v>
      </c>
      <c r="R77" s="112">
        <v>-0.04</v>
      </c>
      <c r="S77" s="113">
        <f>-U77</f>
        <v>-1.6248888888887852E-2</v>
      </c>
      <c r="T77" s="51"/>
      <c r="U77" s="113">
        <f>$U$76-((Q77-$Q$76)/(($B$7)*(36)))</f>
        <v>1.6248888888887852E-2</v>
      </c>
      <c r="V77" s="113">
        <f>$V$76-((Q77-$Q$76)/(($B$7)*(36)))</f>
        <v>1.6248888888887852E-2</v>
      </c>
      <c r="W77" s="113">
        <f>$W$76-((Q77-$Q$76)/(($B$7)*(36)))</f>
        <v>1.6248888888887852E-2</v>
      </c>
      <c r="X77" s="112">
        <v>-0.04</v>
      </c>
      <c r="Y77" s="68"/>
      <c r="Z77" s="8"/>
      <c r="AA77" s="8"/>
    </row>
    <row r="78" spans="1:27" x14ac:dyDescent="0.3">
      <c r="I78" s="70"/>
      <c r="J78" s="112">
        <v>-0.04</v>
      </c>
      <c r="K78" s="113">
        <f>$K$76+((Q78-$Q$76)/(($B$7)*(36)))</f>
        <v>-1.6E-2</v>
      </c>
      <c r="L78" s="113">
        <f>$L$76+((Q78-$Q$76)/(($B$7)*(36)))</f>
        <v>-1.6E-2</v>
      </c>
      <c r="M78" s="113">
        <f>$M$76+((Q78-$Q$76)/(($B$7)*(36)))</f>
        <v>-1.6E-2</v>
      </c>
      <c r="N78" s="51"/>
      <c r="O78" s="113">
        <f>-M78</f>
        <v>1.6E-2</v>
      </c>
      <c r="P78" s="113">
        <v>-0.04</v>
      </c>
      <c r="Q78" s="53">
        <f>Q76+((B9-B10)*(36)*(B7))</f>
        <v>156102.24</v>
      </c>
      <c r="R78" s="112">
        <v>-0.04</v>
      </c>
      <c r="S78" s="113">
        <f>-U78</f>
        <v>-1.6E-2</v>
      </c>
      <c r="T78" s="51"/>
      <c r="U78" s="113">
        <f>$U$76-((Q78-$Q$76)/(($B$7)*(36)))</f>
        <v>1.6E-2</v>
      </c>
      <c r="V78" s="113">
        <f>$V$76-((Q78-$Q$76)/(($B$7)*(36)))</f>
        <v>1.6E-2</v>
      </c>
      <c r="W78" s="113">
        <f>$W$76-((Q78-$Q$76)/(($B$7)*(36)))</f>
        <v>1.6E-2</v>
      </c>
      <c r="X78" s="112">
        <v>-0.04</v>
      </c>
      <c r="Y78" s="68"/>
      <c r="Z78" s="8"/>
      <c r="AA78" s="8"/>
    </row>
    <row r="79" spans="1:27" x14ac:dyDescent="0.3">
      <c r="I79" s="70"/>
      <c r="J79" s="112">
        <v>-0.04</v>
      </c>
      <c r="K79" s="112">
        <v>-1.6E-2</v>
      </c>
      <c r="L79" s="112">
        <v>-1.6E-2</v>
      </c>
      <c r="M79" s="113">
        <f>$M$78+((Q79-$Q$78)/(($B$7)*(12)))</f>
        <v>-8.41333333333023E-3</v>
      </c>
      <c r="N79" s="51"/>
      <c r="O79" s="113">
        <f>-M79</f>
        <v>8.41333333333023E-3</v>
      </c>
      <c r="P79" s="115">
        <v>-0.04</v>
      </c>
      <c r="Q79" s="55">
        <v>156125</v>
      </c>
      <c r="R79" s="115">
        <v>-0.04</v>
      </c>
      <c r="S79" s="115">
        <f t="shared" ref="S79:S81" si="15">-U79</f>
        <v>-1.6E-2</v>
      </c>
      <c r="T79" s="51"/>
      <c r="U79" s="112">
        <v>1.6E-2</v>
      </c>
      <c r="V79" s="113">
        <f>$V$78-((Q79-$Q$78)/(($B$7)*(24)))</f>
        <v>1.2206666666665115E-2</v>
      </c>
      <c r="W79" s="113">
        <f>$W$78-((Q79-$Q$78)/(($B$7)*(24)))</f>
        <v>1.2206666666665115E-2</v>
      </c>
      <c r="X79" s="112">
        <v>-0.04</v>
      </c>
      <c r="Y79" s="68"/>
      <c r="Z79" s="8"/>
      <c r="AA79" s="8"/>
    </row>
    <row r="80" spans="1:27" s="47" customFormat="1" x14ac:dyDescent="0.3">
      <c r="A80" s="46"/>
      <c r="B80" s="46"/>
      <c r="C80" s="46"/>
      <c r="D80" s="46"/>
      <c r="E80" s="46"/>
      <c r="F80" s="46"/>
      <c r="G80" s="46"/>
      <c r="H80" s="46"/>
      <c r="I80" s="71" t="s">
        <v>44</v>
      </c>
      <c r="J80" s="112">
        <v>-0.04</v>
      </c>
      <c r="K80" s="112">
        <v>-1.6E-2</v>
      </c>
      <c r="L80" s="112">
        <v>-1.6E-2</v>
      </c>
      <c r="M80" s="113">
        <f t="shared" ref="M80:M84" si="16">$M$78+((Q80-$Q$78)/(($B$7)*(12)))</f>
        <v>-9.3333333333333324E-3</v>
      </c>
      <c r="N80" s="60"/>
      <c r="O80" s="113">
        <f t="shared" ref="O80:O89" si="17">-M80</f>
        <v>9.3333333333333324E-3</v>
      </c>
      <c r="P80" s="115">
        <v>-0.04</v>
      </c>
      <c r="Q80" s="61">
        <f>B4</f>
        <v>156122.23999999999</v>
      </c>
      <c r="R80" s="115">
        <v>-0.04</v>
      </c>
      <c r="S80" s="115">
        <f t="shared" si="15"/>
        <v>-1.6E-2</v>
      </c>
      <c r="T80" s="60"/>
      <c r="U80" s="112">
        <v>1.6E-2</v>
      </c>
      <c r="V80" s="113">
        <f t="shared" ref="V80:V89" si="18">$V$78-((Q80-$Q$78)/(($B$7)*(24)))</f>
        <v>1.2666666666666666E-2</v>
      </c>
      <c r="W80" s="113">
        <f t="shared" ref="W80" si="19">$W$78-((Q80-$Q$78)/(($B$7)*(24)))</f>
        <v>1.2666666666666666E-2</v>
      </c>
      <c r="X80" s="112">
        <v>-0.04</v>
      </c>
      <c r="Y80" s="72" t="s">
        <v>44</v>
      </c>
      <c r="Z80" s="46"/>
      <c r="AA80" s="46"/>
    </row>
    <row r="81" spans="9:27" x14ac:dyDescent="0.3">
      <c r="I81" s="67"/>
      <c r="J81" s="112">
        <v>-0.04</v>
      </c>
      <c r="K81" s="112">
        <v>-1.6E-2</v>
      </c>
      <c r="L81" s="112">
        <v>-1.6E-2</v>
      </c>
      <c r="M81" s="113">
        <f t="shared" si="16"/>
        <v>-7.9999999996895055E-5</v>
      </c>
      <c r="N81" s="51"/>
      <c r="O81" s="113">
        <f t="shared" si="17"/>
        <v>7.9999999996895055E-5</v>
      </c>
      <c r="P81" s="115">
        <v>-0.04</v>
      </c>
      <c r="Q81" s="50">
        <v>156150</v>
      </c>
      <c r="R81" s="115">
        <v>-0.04</v>
      </c>
      <c r="S81" s="115">
        <f t="shared" si="15"/>
        <v>-1.6E-2</v>
      </c>
      <c r="T81" s="51"/>
      <c r="U81" s="112">
        <v>1.6E-2</v>
      </c>
      <c r="V81" s="113">
        <f t="shared" si="18"/>
        <v>8.0399999999984477E-3</v>
      </c>
      <c r="W81" s="113">
        <f>$W$78-((Q81-$Q$78)/(($B$7)*(24)))</f>
        <v>8.0399999999984477E-3</v>
      </c>
      <c r="X81" s="112">
        <v>-0.04</v>
      </c>
      <c r="Y81" s="68"/>
      <c r="Z81" s="8"/>
      <c r="AA81" s="8"/>
    </row>
    <row r="82" spans="9:27" x14ac:dyDescent="0.3">
      <c r="I82" s="70" t="s">
        <v>83</v>
      </c>
      <c r="J82" s="112">
        <v>-0.04</v>
      </c>
      <c r="K82" s="112">
        <v>-1.6E-2</v>
      </c>
      <c r="L82" s="112">
        <v>-1.6E-2</v>
      </c>
      <c r="M82" s="113">
        <f t="shared" si="16"/>
        <v>0</v>
      </c>
      <c r="N82" s="51"/>
      <c r="O82" s="113">
        <f t="shared" si="17"/>
        <v>0</v>
      </c>
      <c r="P82" s="115">
        <v>-0.04</v>
      </c>
      <c r="Q82" s="62">
        <f>Q78+48</f>
        <v>156150.24</v>
      </c>
      <c r="R82" s="115">
        <v>-0.04</v>
      </c>
      <c r="S82" s="112">
        <f t="shared" ref="S82:S89" si="20">-U82</f>
        <v>-1.6E-2</v>
      </c>
      <c r="T82" s="51"/>
      <c r="U82" s="112">
        <v>1.6E-2</v>
      </c>
      <c r="V82" s="113">
        <f t="shared" si="18"/>
        <v>8.0000000000000002E-3</v>
      </c>
      <c r="W82" s="113">
        <f>$W$78-((Q82-$Q$78)/(($B$7)*(24)))</f>
        <v>8.0000000000000002E-3</v>
      </c>
      <c r="X82" s="112">
        <v>-0.04</v>
      </c>
      <c r="Y82" s="68"/>
      <c r="Z82" s="8"/>
      <c r="AA82" s="8"/>
    </row>
    <row r="83" spans="9:27" x14ac:dyDescent="0.3">
      <c r="I83" s="67"/>
      <c r="J83" s="112">
        <v>-0.04</v>
      </c>
      <c r="K83" s="112">
        <v>-1.6E-2</v>
      </c>
      <c r="L83" s="112">
        <v>-1.6E-2</v>
      </c>
      <c r="M83" s="113">
        <f t="shared" si="16"/>
        <v>8.2533333333364364E-3</v>
      </c>
      <c r="N83" s="51"/>
      <c r="O83" s="113">
        <f t="shared" si="17"/>
        <v>-8.2533333333364364E-3</v>
      </c>
      <c r="P83" s="115">
        <v>-0.04</v>
      </c>
      <c r="Q83" s="50">
        <v>156175</v>
      </c>
      <c r="R83" s="115">
        <v>-0.04</v>
      </c>
      <c r="S83" s="112">
        <f t="shared" si="20"/>
        <v>-1.6E-2</v>
      </c>
      <c r="T83" s="51"/>
      <c r="U83" s="112">
        <v>1.6E-2</v>
      </c>
      <c r="V83" s="113">
        <f t="shared" si="18"/>
        <v>3.873333333331782E-3</v>
      </c>
      <c r="W83" s="113">
        <f t="shared" ref="W83:W89" si="21">$W$78-((Q83-$Q$78)/(($B$7)*(24)))</f>
        <v>3.873333333331782E-3</v>
      </c>
      <c r="X83" s="112">
        <v>-0.04</v>
      </c>
      <c r="Y83" s="68"/>
      <c r="Z83" s="8"/>
      <c r="AA83" s="8"/>
    </row>
    <row r="84" spans="9:27" x14ac:dyDescent="0.3">
      <c r="I84" s="70" t="s">
        <v>84</v>
      </c>
      <c r="J84" s="112">
        <v>-0.04</v>
      </c>
      <c r="K84" s="112">
        <v>-1.6E-2</v>
      </c>
      <c r="L84" s="112">
        <v>-1.6E-2</v>
      </c>
      <c r="M84" s="113">
        <f t="shared" si="16"/>
        <v>1.6E-2</v>
      </c>
      <c r="N84" s="51"/>
      <c r="O84" s="113">
        <f t="shared" si="17"/>
        <v>-1.6E-2</v>
      </c>
      <c r="P84" s="115">
        <v>-0.04</v>
      </c>
      <c r="Q84" s="62">
        <f>Q80+B17</f>
        <v>156198.24</v>
      </c>
      <c r="R84" s="115">
        <v>-0.04</v>
      </c>
      <c r="S84" s="112">
        <f t="shared" si="20"/>
        <v>-1.6E-2</v>
      </c>
      <c r="T84" s="51"/>
      <c r="U84" s="112">
        <v>1.6E-2</v>
      </c>
      <c r="V84" s="113">
        <f t="shared" si="18"/>
        <v>0</v>
      </c>
      <c r="W84" s="113">
        <f t="shared" si="21"/>
        <v>0</v>
      </c>
      <c r="X84" s="112">
        <v>-0.04</v>
      </c>
      <c r="Y84" s="68" t="s">
        <v>81</v>
      </c>
      <c r="Z84" s="8"/>
      <c r="AA84" s="8"/>
    </row>
    <row r="85" spans="9:27" x14ac:dyDescent="0.3">
      <c r="I85" s="70"/>
      <c r="J85" s="112">
        <v>-0.04</v>
      </c>
      <c r="K85" s="112">
        <v>-1.6E-2</v>
      </c>
      <c r="L85" s="112">
        <v>-1.6E-2</v>
      </c>
      <c r="M85" s="112">
        <v>1.6E-2</v>
      </c>
      <c r="N85" s="51"/>
      <c r="O85" s="112">
        <f t="shared" ref="O85" si="22">-M85</f>
        <v>-1.6E-2</v>
      </c>
      <c r="P85" s="115">
        <v>-0.04</v>
      </c>
      <c r="Q85" s="50">
        <v>156200</v>
      </c>
      <c r="R85" s="115">
        <v>-0.04</v>
      </c>
      <c r="S85" s="112">
        <f t="shared" ref="S85" si="23">-U85</f>
        <v>-1.6E-2</v>
      </c>
      <c r="T85" s="51"/>
      <c r="U85" s="112">
        <v>1.6E-2</v>
      </c>
      <c r="V85" s="113">
        <f t="shared" ref="V85" si="24">$V$78-((Q85-$Q$78)/(($B$7)*(24)))</f>
        <v>-2.9333333333488379E-4</v>
      </c>
      <c r="W85" s="113">
        <f t="shared" ref="W85" si="25">$W$78-((Q85-$Q$78)/(($B$7)*(24)))</f>
        <v>-2.9333333333488379E-4</v>
      </c>
      <c r="X85" s="112">
        <v>-0.04</v>
      </c>
      <c r="Y85" s="68"/>
      <c r="Z85" s="8"/>
      <c r="AA85" s="8"/>
    </row>
    <row r="86" spans="9:27" x14ac:dyDescent="0.3">
      <c r="I86" s="67"/>
      <c r="J86" s="112">
        <v>-0.04</v>
      </c>
      <c r="K86" s="112">
        <v>-1.6E-2</v>
      </c>
      <c r="L86" s="112">
        <v>-1.6E-2</v>
      </c>
      <c r="M86" s="112">
        <v>1.6E-2</v>
      </c>
      <c r="N86" s="51"/>
      <c r="O86" s="112">
        <f t="shared" si="17"/>
        <v>-1.6E-2</v>
      </c>
      <c r="P86" s="115">
        <v>-0.04</v>
      </c>
      <c r="Q86" s="50">
        <v>156225</v>
      </c>
      <c r="R86" s="115">
        <v>-0.04</v>
      </c>
      <c r="S86" s="112">
        <f t="shared" si="20"/>
        <v>-1.6E-2</v>
      </c>
      <c r="T86" s="51"/>
      <c r="U86" s="112">
        <v>1.6E-2</v>
      </c>
      <c r="V86" s="113">
        <f t="shared" si="18"/>
        <v>-4.460000000001553E-3</v>
      </c>
      <c r="W86" s="113">
        <f t="shared" si="21"/>
        <v>-4.460000000001553E-3</v>
      </c>
      <c r="X86" s="112">
        <v>-0.04</v>
      </c>
      <c r="Y86" s="68"/>
      <c r="Z86" s="8"/>
      <c r="AA86" s="8"/>
    </row>
    <row r="87" spans="9:27" x14ac:dyDescent="0.3">
      <c r="I87" s="67"/>
      <c r="J87" s="112">
        <v>-0.04</v>
      </c>
      <c r="K87" s="112">
        <v>-1.6E-2</v>
      </c>
      <c r="L87" s="112">
        <v>-1.6E-2</v>
      </c>
      <c r="M87" s="112">
        <v>1.6E-2</v>
      </c>
      <c r="N87" s="51"/>
      <c r="O87" s="112">
        <f t="shared" si="17"/>
        <v>-1.6E-2</v>
      </c>
      <c r="P87" s="115">
        <v>-0.04</v>
      </c>
      <c r="Q87" s="50">
        <v>156250</v>
      </c>
      <c r="R87" s="115">
        <v>-0.04</v>
      </c>
      <c r="S87" s="112">
        <f t="shared" si="20"/>
        <v>-1.6E-2</v>
      </c>
      <c r="T87" s="51"/>
      <c r="U87" s="112">
        <v>1.6E-2</v>
      </c>
      <c r="V87" s="113">
        <f t="shared" si="18"/>
        <v>-8.6266666666682187E-3</v>
      </c>
      <c r="W87" s="113">
        <f t="shared" si="21"/>
        <v>-8.6266666666682187E-3</v>
      </c>
      <c r="X87" s="112">
        <v>-0.04</v>
      </c>
      <c r="Y87" s="68"/>
      <c r="Z87" s="8"/>
      <c r="AA87" s="8"/>
    </row>
    <row r="88" spans="9:27" x14ac:dyDescent="0.3">
      <c r="I88" s="67"/>
      <c r="J88" s="112">
        <v>-0.04</v>
      </c>
      <c r="K88" s="112">
        <v>-1.6E-2</v>
      </c>
      <c r="L88" s="112">
        <v>-1.6E-2</v>
      </c>
      <c r="M88" s="112">
        <v>1.6E-2</v>
      </c>
      <c r="N88" s="51"/>
      <c r="O88" s="112">
        <f t="shared" si="17"/>
        <v>-1.6E-2</v>
      </c>
      <c r="P88" s="115">
        <v>-0.04</v>
      </c>
      <c r="Q88" s="50">
        <v>156275</v>
      </c>
      <c r="R88" s="115">
        <v>-0.04</v>
      </c>
      <c r="S88" s="112">
        <f t="shared" si="20"/>
        <v>-1.6E-2</v>
      </c>
      <c r="T88" s="51"/>
      <c r="U88" s="112">
        <v>1.6E-2</v>
      </c>
      <c r="V88" s="113">
        <f t="shared" si="18"/>
        <v>-1.2793333333334884E-2</v>
      </c>
      <c r="W88" s="113">
        <f t="shared" si="21"/>
        <v>-1.2793333333334884E-2</v>
      </c>
      <c r="X88" s="112">
        <v>-0.04</v>
      </c>
      <c r="Y88" s="68"/>
      <c r="Z88" s="8"/>
      <c r="AA88" s="8"/>
    </row>
    <row r="89" spans="9:27" ht="15" thickBot="1" x14ac:dyDescent="0.35">
      <c r="I89" s="73"/>
      <c r="J89" s="117">
        <v>-0.04</v>
      </c>
      <c r="K89" s="117">
        <v>-1.6E-2</v>
      </c>
      <c r="L89" s="117">
        <v>-1.6E-2</v>
      </c>
      <c r="M89" s="117">
        <v>1.6E-2</v>
      </c>
      <c r="N89" s="76"/>
      <c r="O89" s="117">
        <f t="shared" si="17"/>
        <v>-1.6E-2</v>
      </c>
      <c r="P89" s="116">
        <v>-0.04</v>
      </c>
      <c r="Q89" s="78">
        <f>Q84+B12</f>
        <v>156294.24</v>
      </c>
      <c r="R89" s="116">
        <v>-0.04</v>
      </c>
      <c r="S89" s="117">
        <f t="shared" si="20"/>
        <v>-1.6E-2</v>
      </c>
      <c r="T89" s="76"/>
      <c r="U89" s="117">
        <v>1.6E-2</v>
      </c>
      <c r="V89" s="113">
        <f t="shared" si="18"/>
        <v>-1.6E-2</v>
      </c>
      <c r="W89" s="113">
        <f t="shared" si="21"/>
        <v>-1.6E-2</v>
      </c>
      <c r="X89" s="117">
        <v>-0.04</v>
      </c>
      <c r="Y89" s="80" t="s">
        <v>84</v>
      </c>
      <c r="Z89" s="8"/>
      <c r="AA89" s="8"/>
    </row>
    <row r="90" spans="9:27" x14ac:dyDescent="0.3">
      <c r="I90" s="8"/>
      <c r="J90" s="1"/>
      <c r="K90" s="1"/>
      <c r="L90" s="1"/>
      <c r="M90" s="1"/>
      <c r="N90" s="1"/>
      <c r="O90" s="1"/>
      <c r="P90" s="1"/>
      <c r="Q90" s="42"/>
      <c r="R90" s="1"/>
      <c r="S90" s="1"/>
      <c r="T90" s="1"/>
      <c r="Y90" s="35"/>
      <c r="Z90" s="8"/>
      <c r="AA90" s="8"/>
    </row>
    <row r="91" spans="9:27" x14ac:dyDescent="0.3">
      <c r="I91" s="8"/>
      <c r="J91" s="1"/>
      <c r="K91" s="1"/>
      <c r="L91" s="1"/>
      <c r="M91" s="1"/>
      <c r="N91" s="1"/>
      <c r="O91" s="1"/>
      <c r="P91" s="1"/>
      <c r="Q91" s="42"/>
      <c r="R91" s="1"/>
      <c r="S91" s="1"/>
      <c r="T91" s="1"/>
      <c r="Y91" s="35"/>
      <c r="Z91" s="8"/>
      <c r="AA91" s="8"/>
    </row>
    <row r="92" spans="9:27" x14ac:dyDescent="0.3">
      <c r="I92" s="8"/>
      <c r="J92" s="1"/>
      <c r="K92" s="1"/>
      <c r="L92" s="1"/>
      <c r="M92" s="1"/>
      <c r="N92" s="1"/>
      <c r="O92" s="1"/>
      <c r="P92" s="1"/>
      <c r="Q92" s="42"/>
      <c r="R92" s="1"/>
      <c r="S92" s="1"/>
      <c r="T92" s="1"/>
      <c r="Y92" s="35"/>
      <c r="Z92" s="8"/>
      <c r="AA92" s="8"/>
    </row>
    <row r="93" spans="9:27" x14ac:dyDescent="0.3">
      <c r="I93" s="8"/>
      <c r="J93" s="1"/>
      <c r="K93" s="1"/>
      <c r="L93" s="1"/>
      <c r="M93" s="1"/>
      <c r="N93" s="1"/>
      <c r="O93" s="1"/>
      <c r="P93" s="1"/>
      <c r="Q93" s="42"/>
      <c r="Y93" s="35"/>
      <c r="Z93" s="8"/>
      <c r="AA93" s="8"/>
    </row>
    <row r="94" spans="9:27" x14ac:dyDescent="0.3">
      <c r="I94" s="8"/>
      <c r="J94" s="1"/>
      <c r="K94" s="1"/>
      <c r="L94" s="1"/>
      <c r="M94" s="1"/>
      <c r="N94" s="1"/>
      <c r="O94" s="1"/>
      <c r="P94" s="1"/>
      <c r="Q94" s="42"/>
      <c r="Y94" s="35"/>
      <c r="Z94" s="8"/>
      <c r="AA94" s="8"/>
    </row>
    <row r="95" spans="9:27" x14ac:dyDescent="0.3">
      <c r="I95" s="8"/>
      <c r="J95" s="1"/>
      <c r="K95" s="1"/>
      <c r="L95" s="1"/>
      <c r="M95" s="1"/>
      <c r="N95" s="1"/>
      <c r="O95" s="1"/>
      <c r="P95" s="1"/>
      <c r="Q95" s="42"/>
      <c r="Y95" s="35"/>
      <c r="Z95" s="8"/>
      <c r="AA95" s="8"/>
    </row>
    <row r="96" spans="9:27" x14ac:dyDescent="0.3">
      <c r="I96" s="8"/>
      <c r="J96" s="1"/>
      <c r="K96" s="1"/>
      <c r="L96" s="1"/>
      <c r="M96" s="1"/>
      <c r="N96" s="1"/>
      <c r="O96" s="1"/>
      <c r="P96" s="1"/>
      <c r="Q96" s="42"/>
      <c r="Y96" s="35"/>
      <c r="Z96" s="8"/>
      <c r="AA96" s="8"/>
    </row>
    <row r="97" spans="9:27" x14ac:dyDescent="0.3">
      <c r="I97" s="8"/>
      <c r="J97" s="1"/>
      <c r="K97" s="1"/>
      <c r="L97" s="1"/>
      <c r="M97" s="1"/>
      <c r="N97" s="1"/>
      <c r="O97" s="1"/>
      <c r="P97" s="1"/>
      <c r="Q97" s="42"/>
      <c r="Y97" s="35"/>
      <c r="Z97" s="8"/>
      <c r="AA97" s="8"/>
    </row>
  </sheetData>
  <mergeCells count="10">
    <mergeCell ref="D29:F34"/>
    <mergeCell ref="J50:P50"/>
    <mergeCell ref="R50:X50"/>
    <mergeCell ref="J70:X72"/>
    <mergeCell ref="A1:C1"/>
    <mergeCell ref="A11:C11"/>
    <mergeCell ref="D11:F11"/>
    <mergeCell ref="D12:F19"/>
    <mergeCell ref="A28:C28"/>
    <mergeCell ref="D28:F2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09BF-2232-48C8-A10D-9ACDC2D4D548}">
  <dimension ref="A1:Y113"/>
  <sheetViews>
    <sheetView topLeftCell="F47" zoomScale="115" zoomScaleNormal="115" workbookViewId="0">
      <selection activeCell="P56" sqref="P56"/>
    </sheetView>
  </sheetViews>
  <sheetFormatPr defaultRowHeight="14.4" x14ac:dyDescent="0.3"/>
  <cols>
    <col min="1" max="2" width="17.77734375" style="8" bestFit="1" customWidth="1"/>
    <col min="3" max="3" width="62.21875" style="8" bestFit="1" customWidth="1"/>
    <col min="4" max="5" width="17.77734375" style="8" customWidth="1"/>
    <col min="6" max="6" width="59.77734375" style="8" customWidth="1"/>
    <col min="7" max="7" width="7.109375" style="8" bestFit="1" customWidth="1"/>
    <col min="8" max="8" width="15.6640625" style="8" customWidth="1"/>
    <col min="9" max="9" width="55.88671875" bestFit="1" customWidth="1"/>
    <col min="10" max="10" width="11.109375" style="40" bestFit="1" customWidth="1"/>
    <col min="11" max="11" width="12.21875" style="40" bestFit="1" customWidth="1"/>
    <col min="12" max="13" width="12.33203125" style="40" bestFit="1" customWidth="1"/>
    <col min="14" max="14" width="19.88671875" style="40" bestFit="1" customWidth="1"/>
    <col min="15" max="15" width="17.33203125" style="40" bestFit="1" customWidth="1"/>
    <col min="16" max="16" width="23" style="41" bestFit="1" customWidth="1"/>
    <col min="17" max="17" width="17" style="42" bestFit="1" customWidth="1"/>
    <col min="18" max="18" width="19.88671875" style="42" customWidth="1"/>
    <col min="19" max="19" width="12.44140625" style="1" bestFit="1" customWidth="1"/>
    <col min="20" max="21" width="12.44140625" style="1" customWidth="1"/>
    <col min="22" max="22" width="11.109375" style="1" customWidth="1"/>
    <col min="23" max="23" width="45.77734375" style="45" bestFit="1" customWidth="1"/>
  </cols>
  <sheetData>
    <row r="1" spans="1:25" ht="63" customHeight="1" thickBot="1" x14ac:dyDescent="0.35">
      <c r="A1" s="167" t="s">
        <v>121</v>
      </c>
      <c r="B1" s="168"/>
      <c r="C1" s="168"/>
      <c r="D1" s="81"/>
      <c r="E1" s="81"/>
      <c r="F1" s="81"/>
      <c r="G1" s="81"/>
      <c r="H1" s="126"/>
      <c r="I1" s="81"/>
    </row>
    <row r="2" spans="1:25" x14ac:dyDescent="0.3">
      <c r="A2" s="141" t="s">
        <v>42</v>
      </c>
      <c r="B2" s="90">
        <v>164531.14000000001</v>
      </c>
      <c r="C2" s="145"/>
      <c r="D2"/>
      <c r="E2"/>
      <c r="F2"/>
      <c r="G2"/>
      <c r="H2"/>
    </row>
    <row r="3" spans="1:25" x14ac:dyDescent="0.3">
      <c r="A3" s="37" t="s">
        <v>43</v>
      </c>
      <c r="B3" s="91">
        <v>163441.96</v>
      </c>
      <c r="C3" s="140" t="s">
        <v>124</v>
      </c>
      <c r="D3"/>
      <c r="E3"/>
      <c r="F3"/>
      <c r="G3"/>
      <c r="H3"/>
    </row>
    <row r="4" spans="1:25" x14ac:dyDescent="0.3">
      <c r="A4" s="37" t="s">
        <v>44</v>
      </c>
      <c r="B4" s="122">
        <v>1123.826</v>
      </c>
      <c r="C4" s="140"/>
      <c r="D4"/>
      <c r="E4" s="125">
        <f>164472.45-B3</f>
        <v>1030.4900000000198</v>
      </c>
      <c r="F4" s="125"/>
      <c r="G4"/>
      <c r="H4"/>
    </row>
    <row r="5" spans="1:25" ht="16.2" x14ac:dyDescent="0.3">
      <c r="A5" s="37" t="s">
        <v>1</v>
      </c>
      <c r="B5" s="37" t="s">
        <v>122</v>
      </c>
      <c r="C5" s="140" t="s">
        <v>102</v>
      </c>
      <c r="D5"/>
      <c r="E5"/>
      <c r="F5"/>
      <c r="G5"/>
      <c r="H5"/>
    </row>
    <row r="6" spans="1:25" x14ac:dyDescent="0.3">
      <c r="A6" s="37" t="s">
        <v>45</v>
      </c>
      <c r="B6" s="37" t="s">
        <v>6</v>
      </c>
      <c r="C6" s="140"/>
      <c r="D6"/>
      <c r="E6"/>
      <c r="F6"/>
      <c r="G6"/>
      <c r="H6"/>
    </row>
    <row r="7" spans="1:25" x14ac:dyDescent="0.3">
      <c r="A7" s="37" t="s">
        <v>46</v>
      </c>
      <c r="B7" s="37">
        <v>250</v>
      </c>
      <c r="C7" s="140"/>
      <c r="D7"/>
      <c r="E7"/>
      <c r="F7"/>
      <c r="G7"/>
      <c r="H7"/>
    </row>
    <row r="8" spans="1:25" x14ac:dyDescent="0.3">
      <c r="A8" s="37" t="s">
        <v>8</v>
      </c>
      <c r="B8" s="38" t="s">
        <v>123</v>
      </c>
      <c r="C8" s="144" t="s">
        <v>48</v>
      </c>
      <c r="E8" s="153"/>
      <c r="I8" s="8"/>
      <c r="K8" s="1"/>
      <c r="L8" s="1"/>
      <c r="M8" s="1"/>
      <c r="N8" s="1"/>
      <c r="O8" s="1"/>
      <c r="P8" s="42"/>
      <c r="W8" s="35"/>
      <c r="X8" s="8"/>
      <c r="Y8" s="8"/>
    </row>
    <row r="9" spans="1:25" x14ac:dyDescent="0.3">
      <c r="A9" s="37"/>
      <c r="B9" s="39">
        <v>3.3000000000000002E-2</v>
      </c>
      <c r="C9" s="140" t="s">
        <v>49</v>
      </c>
      <c r="D9"/>
      <c r="E9"/>
      <c r="F9"/>
      <c r="G9"/>
      <c r="H9"/>
      <c r="O9" s="1"/>
      <c r="P9" s="42"/>
      <c r="W9" s="35"/>
      <c r="X9" s="8"/>
      <c r="Y9" s="8"/>
    </row>
    <row r="10" spans="1:25" x14ac:dyDescent="0.3">
      <c r="A10" s="37" t="s">
        <v>51</v>
      </c>
      <c r="B10" s="39">
        <v>1.6E-2</v>
      </c>
      <c r="C10" s="140"/>
      <c r="D10"/>
      <c r="E10"/>
      <c r="F10"/>
      <c r="G10"/>
      <c r="H10"/>
      <c r="O10" s="1"/>
      <c r="P10" s="42"/>
      <c r="W10" s="35"/>
      <c r="X10" s="8"/>
      <c r="Y10" s="8"/>
    </row>
    <row r="11" spans="1:25" x14ac:dyDescent="0.3">
      <c r="A11" s="37" t="s">
        <v>136</v>
      </c>
      <c r="B11" s="39">
        <v>12</v>
      </c>
      <c r="C11" s="140"/>
      <c r="D11"/>
      <c r="E11"/>
      <c r="F11"/>
      <c r="G11"/>
      <c r="H11"/>
      <c r="O11" s="1"/>
      <c r="P11" s="42"/>
      <c r="W11" s="35"/>
      <c r="X11" s="8"/>
      <c r="Y11" s="8"/>
    </row>
    <row r="12" spans="1:25" x14ac:dyDescent="0.3">
      <c r="A12" s="37" t="s">
        <v>137</v>
      </c>
      <c r="B12" s="39">
        <v>12</v>
      </c>
      <c r="C12" s="140"/>
      <c r="D12"/>
      <c r="E12"/>
      <c r="F12"/>
      <c r="G12"/>
      <c r="H12"/>
      <c r="O12" s="1"/>
      <c r="P12" s="42"/>
      <c r="W12" s="35"/>
      <c r="X12" s="8"/>
      <c r="Y12" s="8"/>
    </row>
    <row r="13" spans="1:25" ht="15" thickBot="1" x14ac:dyDescent="0.35">
      <c r="A13" s="142" t="s">
        <v>138</v>
      </c>
      <c r="B13" s="146">
        <v>12</v>
      </c>
      <c r="C13" s="143"/>
      <c r="D13"/>
      <c r="E13"/>
      <c r="F13"/>
      <c r="G13"/>
      <c r="H13"/>
      <c r="O13" s="1"/>
      <c r="P13" s="42"/>
      <c r="W13" s="35"/>
      <c r="X13" s="8"/>
      <c r="Y13" s="8"/>
    </row>
    <row r="14" spans="1:25" ht="15" thickBot="1" x14ac:dyDescent="0.35">
      <c r="A14" s="184" t="s">
        <v>93</v>
      </c>
      <c r="B14" s="185"/>
      <c r="C14" s="186"/>
      <c r="D14" s="169" t="s">
        <v>95</v>
      </c>
      <c r="E14" s="170"/>
      <c r="F14" s="171"/>
      <c r="G14"/>
      <c r="H14"/>
      <c r="O14" s="1"/>
      <c r="P14" s="42"/>
      <c r="W14" s="35"/>
      <c r="X14" s="8"/>
      <c r="Y14" s="8"/>
    </row>
    <row r="15" spans="1:25" x14ac:dyDescent="0.3">
      <c r="A15" s="92" t="s">
        <v>50</v>
      </c>
      <c r="B15" s="84">
        <f>(B13+B12)*(B10)*(B7)</f>
        <v>96</v>
      </c>
      <c r="C15" s="84" t="s">
        <v>61</v>
      </c>
      <c r="D15" s="187"/>
      <c r="E15" s="176"/>
      <c r="F15" s="177"/>
      <c r="I15" s="8"/>
      <c r="J15" s="1"/>
      <c r="K15" s="1"/>
      <c r="L15" s="1"/>
      <c r="M15" s="1"/>
      <c r="N15" s="1"/>
      <c r="O15" s="1"/>
      <c r="P15" s="42"/>
      <c r="W15" s="35"/>
      <c r="X15" s="8"/>
      <c r="Y15" s="8"/>
    </row>
    <row r="16" spans="1:25" x14ac:dyDescent="0.3">
      <c r="A16" s="92" t="s">
        <v>53</v>
      </c>
      <c r="B16" s="84" t="s">
        <v>54</v>
      </c>
      <c r="C16" s="84" t="s">
        <v>58</v>
      </c>
      <c r="D16" s="178"/>
      <c r="E16" s="179"/>
      <c r="F16" s="180"/>
      <c r="I16" s="8"/>
      <c r="J16" s="1"/>
      <c r="K16" s="1"/>
      <c r="L16" s="1"/>
      <c r="M16" s="1"/>
      <c r="N16" s="1"/>
      <c r="O16" s="1"/>
      <c r="P16" s="42"/>
      <c r="W16" s="35"/>
      <c r="X16" s="8"/>
      <c r="Y16" s="8"/>
    </row>
    <row r="17" spans="1:25" x14ac:dyDescent="0.3">
      <c r="A17" s="92" t="s">
        <v>55</v>
      </c>
      <c r="B17" s="84">
        <f>(B13+B12)*(B10)*(B7)</f>
        <v>96</v>
      </c>
      <c r="C17" s="84" t="s">
        <v>141</v>
      </c>
      <c r="D17" s="178"/>
      <c r="E17" s="179"/>
      <c r="F17" s="180"/>
      <c r="I17" s="8"/>
      <c r="J17" s="1"/>
      <c r="K17" s="1"/>
      <c r="L17" s="1"/>
      <c r="M17" s="1"/>
      <c r="N17" s="1"/>
      <c r="O17" s="1"/>
      <c r="P17" s="42"/>
      <c r="W17" s="35"/>
      <c r="X17" s="8"/>
      <c r="Y17" s="8"/>
    </row>
    <row r="18" spans="1:25" x14ac:dyDescent="0.3">
      <c r="A18" s="92" t="s">
        <v>56</v>
      </c>
      <c r="B18" s="84">
        <f>(B13+B12+B11)*(B9-B10)*(B7)</f>
        <v>153.00000000000003</v>
      </c>
      <c r="C18" s="84" t="s">
        <v>142</v>
      </c>
      <c r="D18" s="178"/>
      <c r="E18" s="179"/>
      <c r="F18" s="180"/>
      <c r="I18" s="8"/>
      <c r="J18" s="1"/>
      <c r="K18" s="1"/>
      <c r="L18" s="1"/>
      <c r="M18" s="1"/>
      <c r="N18" s="1"/>
      <c r="O18" s="1"/>
      <c r="P18" s="42"/>
      <c r="W18" s="35"/>
      <c r="X18" s="8"/>
      <c r="Y18" s="8"/>
    </row>
    <row r="19" spans="1:25" x14ac:dyDescent="0.3">
      <c r="A19" s="92" t="s">
        <v>53</v>
      </c>
      <c r="B19" s="84">
        <f>B17+B18</f>
        <v>249.00000000000003</v>
      </c>
      <c r="C19" s="84"/>
      <c r="D19" s="178"/>
      <c r="E19" s="179"/>
      <c r="F19" s="180"/>
      <c r="I19" s="8"/>
      <c r="J19" s="1"/>
      <c r="K19" s="1"/>
      <c r="L19" s="1"/>
      <c r="M19" s="1"/>
      <c r="N19" s="1"/>
      <c r="O19" s="1"/>
      <c r="P19" s="42"/>
      <c r="W19" s="35"/>
      <c r="X19" s="8"/>
      <c r="Y19" s="8"/>
    </row>
    <row r="20" spans="1:25" x14ac:dyDescent="0.3">
      <c r="A20" s="92" t="s">
        <v>62</v>
      </c>
      <c r="B20" s="147">
        <f>(2/3)*(B19)</f>
        <v>166</v>
      </c>
      <c r="C20" s="152"/>
      <c r="D20" s="178"/>
      <c r="E20" s="179"/>
      <c r="F20" s="180"/>
      <c r="I20" s="8"/>
      <c r="J20" s="1"/>
      <c r="K20" s="1"/>
      <c r="L20" s="1"/>
      <c r="M20" s="1"/>
      <c r="N20" s="1"/>
      <c r="O20" s="1"/>
      <c r="P20" s="42"/>
      <c r="W20" s="35"/>
      <c r="X20" s="8"/>
      <c r="Y20" s="8"/>
    </row>
    <row r="21" spans="1:25" x14ac:dyDescent="0.3">
      <c r="A21" s="92" t="s">
        <v>86</v>
      </c>
      <c r="B21" s="147">
        <f>(1/3)*(B19)</f>
        <v>83</v>
      </c>
      <c r="C21" s="84"/>
      <c r="D21" s="178"/>
      <c r="E21" s="179"/>
      <c r="F21" s="180"/>
      <c r="I21" s="8"/>
      <c r="J21" s="1"/>
      <c r="K21" s="1"/>
      <c r="L21" s="1"/>
      <c r="M21" s="1"/>
      <c r="N21" s="1"/>
      <c r="O21" s="1"/>
      <c r="P21" s="42"/>
      <c r="W21" s="35"/>
      <c r="X21" s="8"/>
      <c r="Y21" s="8"/>
    </row>
    <row r="22" spans="1:25" x14ac:dyDescent="0.3">
      <c r="A22" s="98"/>
      <c r="B22" s="99"/>
      <c r="C22" s="99"/>
      <c r="D22" s="181"/>
      <c r="E22" s="182"/>
      <c r="F22" s="183"/>
      <c r="I22" s="8"/>
      <c r="J22" s="1"/>
      <c r="K22" s="1"/>
      <c r="L22" s="1"/>
      <c r="M22" s="1"/>
      <c r="N22" s="1"/>
      <c r="O22" s="1"/>
      <c r="P22" s="42"/>
      <c r="W22" s="35"/>
      <c r="X22" s="8"/>
      <c r="Y22" s="8"/>
    </row>
    <row r="23" spans="1:25" x14ac:dyDescent="0.3">
      <c r="A23" s="92" t="s">
        <v>88</v>
      </c>
      <c r="B23" s="94">
        <f>(B24)-B15</f>
        <v>163179.96</v>
      </c>
      <c r="C23" s="84" t="s">
        <v>89</v>
      </c>
      <c r="D23" s="92" t="s">
        <v>90</v>
      </c>
      <c r="E23" s="123">
        <f>E25-(B21)</f>
        <v>1040.826</v>
      </c>
      <c r="F23" s="84" t="s">
        <v>98</v>
      </c>
      <c r="I23" s="8"/>
      <c r="J23" s="1"/>
      <c r="K23" s="1"/>
      <c r="L23" s="1"/>
      <c r="M23" s="1"/>
      <c r="N23" s="1"/>
      <c r="O23" s="1"/>
      <c r="P23" s="42"/>
      <c r="W23" s="35"/>
      <c r="X23" s="8"/>
      <c r="Y23" s="8"/>
    </row>
    <row r="24" spans="1:25" x14ac:dyDescent="0.3">
      <c r="A24" s="92"/>
      <c r="B24" s="94">
        <f>(B28)-(B20)</f>
        <v>163275.96</v>
      </c>
      <c r="C24" s="84" t="s">
        <v>96</v>
      </c>
      <c r="D24" s="92"/>
      <c r="E24" s="123">
        <f>E23+((B9-0.03)*(B11+B12+B13)*(B7))</f>
        <v>1067.826</v>
      </c>
      <c r="F24" s="96">
        <v>0.03</v>
      </c>
      <c r="I24" s="8"/>
      <c r="J24" s="1"/>
      <c r="K24" s="1"/>
      <c r="L24" s="1"/>
      <c r="M24" s="1"/>
      <c r="N24" s="1"/>
      <c r="O24" s="1"/>
      <c r="P24" s="42"/>
      <c r="W24" s="35"/>
      <c r="X24" s="8"/>
      <c r="Y24" s="8"/>
    </row>
    <row r="25" spans="1:25" x14ac:dyDescent="0.3">
      <c r="A25" s="92"/>
      <c r="B25" s="94">
        <f>B24+((24)*(B10-0.008)*(B7))</f>
        <v>163323.96</v>
      </c>
      <c r="C25" s="96">
        <v>8.0000000000000002E-3</v>
      </c>
      <c r="D25" s="92" t="s">
        <v>44</v>
      </c>
      <c r="E25" s="123">
        <f>B4</f>
        <v>1123.826</v>
      </c>
      <c r="F25" s="96" t="str">
        <f>D25</f>
        <v>PT</v>
      </c>
      <c r="I25" s="8"/>
      <c r="J25" s="1"/>
      <c r="K25" s="1"/>
      <c r="L25" s="1"/>
      <c r="M25" s="1"/>
      <c r="N25" s="1"/>
      <c r="O25" s="1"/>
      <c r="P25" s="42"/>
      <c r="W25" s="35"/>
      <c r="X25" s="8"/>
      <c r="Y25" s="8"/>
    </row>
    <row r="26" spans="1:25" x14ac:dyDescent="0.3">
      <c r="A26" s="92"/>
      <c r="B26" s="94">
        <f>B24+B15</f>
        <v>163371.96</v>
      </c>
      <c r="C26" s="96">
        <v>1.6E-2</v>
      </c>
      <c r="D26" s="92"/>
      <c r="E26" s="123"/>
      <c r="F26" s="96"/>
      <c r="I26" s="8"/>
      <c r="J26" s="1"/>
      <c r="K26" s="1"/>
      <c r="L26" s="1"/>
      <c r="M26" s="1"/>
      <c r="N26" s="1"/>
      <c r="O26" s="1"/>
      <c r="P26" s="42"/>
      <c r="W26" s="35"/>
      <c r="X26" s="8"/>
      <c r="Y26" s="8"/>
    </row>
    <row r="27" spans="1:25" x14ac:dyDescent="0.3">
      <c r="A27" s="92"/>
      <c r="B27" s="94">
        <f>B26+((36)*(0.03-B10)*(B7))</f>
        <v>163497.96</v>
      </c>
      <c r="C27" s="96">
        <v>0.03</v>
      </c>
      <c r="D27" s="92"/>
      <c r="E27" s="123">
        <f>E23+((B9-B10)*(B11+B12+B13)*(B7))</f>
        <v>1193.826</v>
      </c>
      <c r="F27" s="96">
        <v>1.6E-2</v>
      </c>
      <c r="I27" s="8"/>
      <c r="J27" s="1"/>
      <c r="K27" s="1"/>
      <c r="L27" s="1"/>
      <c r="M27" s="1"/>
      <c r="N27" s="1"/>
      <c r="O27" s="1"/>
      <c r="P27" s="42"/>
      <c r="W27" s="35"/>
      <c r="X27" s="8"/>
      <c r="Y27" s="8"/>
    </row>
    <row r="28" spans="1:25" x14ac:dyDescent="0.3">
      <c r="A28" s="92" t="s">
        <v>43</v>
      </c>
      <c r="B28" s="94">
        <f>B3</f>
        <v>163441.96</v>
      </c>
      <c r="C28" s="84" t="str">
        <f>A28</f>
        <v>PC</v>
      </c>
      <c r="D28" s="92"/>
      <c r="E28" s="123">
        <f>E27+((B10-0.008)*(B13+B12)*(B7))</f>
        <v>1241.826</v>
      </c>
      <c r="F28" s="84">
        <v>0.8</v>
      </c>
      <c r="G28" s="100"/>
      <c r="H28" s="100"/>
      <c r="I28" s="8"/>
      <c r="J28" s="1"/>
      <c r="K28" s="1"/>
      <c r="L28" s="1"/>
      <c r="M28" s="1"/>
      <c r="N28" s="1"/>
      <c r="O28" s="1"/>
      <c r="P28" s="42"/>
      <c r="W28" s="35"/>
      <c r="X28" s="8"/>
      <c r="Y28" s="8"/>
    </row>
    <row r="29" spans="1:25" x14ac:dyDescent="0.3">
      <c r="A29" s="92"/>
      <c r="B29" s="94"/>
      <c r="C29" s="97"/>
      <c r="D29" s="92"/>
      <c r="E29" s="123">
        <f>E25+B20</f>
        <v>1289.826</v>
      </c>
      <c r="F29" s="97" t="s">
        <v>99</v>
      </c>
      <c r="G29" s="100">
        <f>E29-E28</f>
        <v>48</v>
      </c>
      <c r="H29" s="100" t="s">
        <v>100</v>
      </c>
      <c r="I29" s="8"/>
      <c r="J29" s="1"/>
      <c r="K29" s="1"/>
      <c r="L29" s="1"/>
      <c r="M29" s="1"/>
      <c r="N29" s="1"/>
      <c r="O29" s="1"/>
      <c r="P29" s="42"/>
      <c r="W29" s="35"/>
      <c r="X29" s="8"/>
      <c r="Y29" s="8"/>
    </row>
    <row r="30" spans="1:25" ht="15" thickBot="1" x14ac:dyDescent="0.35">
      <c r="A30" s="101" t="s">
        <v>90</v>
      </c>
      <c r="B30" s="102">
        <f>B28+B21</f>
        <v>163524.96</v>
      </c>
      <c r="C30" s="103" t="s">
        <v>97</v>
      </c>
      <c r="D30" s="101" t="s">
        <v>88</v>
      </c>
      <c r="E30" s="124">
        <f>E29+B17</f>
        <v>1385.826</v>
      </c>
      <c r="F30" s="103" t="s">
        <v>84</v>
      </c>
      <c r="G30" s="100">
        <f>E30-E23</f>
        <v>345</v>
      </c>
      <c r="H30" s="8" t="s">
        <v>100</v>
      </c>
      <c r="I30" s="8"/>
      <c r="J30" s="1"/>
      <c r="K30" s="1"/>
      <c r="L30" s="1"/>
      <c r="M30" s="1"/>
      <c r="N30" s="1"/>
      <c r="O30" s="1"/>
      <c r="P30" s="42"/>
      <c r="W30" s="35"/>
      <c r="X30" s="8"/>
      <c r="Y30" s="8"/>
    </row>
    <row r="31" spans="1:25" x14ac:dyDescent="0.3">
      <c r="A31" s="172" t="s">
        <v>92</v>
      </c>
      <c r="B31" s="173"/>
      <c r="C31" s="174"/>
      <c r="D31" s="172" t="s">
        <v>94</v>
      </c>
      <c r="E31" s="173"/>
      <c r="F31" s="174"/>
      <c r="I31" s="8"/>
      <c r="J31" s="1"/>
      <c r="K31" s="1"/>
      <c r="L31" s="1"/>
      <c r="M31" s="1"/>
      <c r="N31" s="1"/>
      <c r="O31" s="1"/>
      <c r="P31" s="42"/>
      <c r="W31" s="35"/>
      <c r="X31" s="8"/>
      <c r="Y31" s="8"/>
    </row>
    <row r="32" spans="1:25" x14ac:dyDescent="0.3">
      <c r="A32" s="84" t="s">
        <v>50</v>
      </c>
      <c r="B32" s="84">
        <f>(B11)*(B10)*(B7)</f>
        <v>48</v>
      </c>
      <c r="C32" s="150" t="s">
        <v>139</v>
      </c>
      <c r="D32" s="188"/>
      <c r="E32" s="163"/>
      <c r="F32" s="189"/>
      <c r="I32" s="8"/>
      <c r="J32" s="1"/>
      <c r="K32" s="1"/>
      <c r="L32" s="1"/>
      <c r="M32" s="1"/>
      <c r="N32" s="1"/>
      <c r="O32" s="1"/>
      <c r="P32" s="42"/>
      <c r="W32" s="35"/>
      <c r="X32" s="8"/>
      <c r="Y32" s="8"/>
    </row>
    <row r="33" spans="1:25" x14ac:dyDescent="0.3">
      <c r="A33" s="84" t="s">
        <v>53</v>
      </c>
      <c r="B33" s="84" t="s">
        <v>54</v>
      </c>
      <c r="C33" s="150" t="s">
        <v>58</v>
      </c>
      <c r="D33" s="188"/>
      <c r="E33" s="163"/>
      <c r="F33" s="189"/>
      <c r="I33" s="8"/>
      <c r="J33" s="1"/>
      <c r="K33" s="1"/>
      <c r="L33" s="1"/>
      <c r="M33" s="1"/>
      <c r="N33" s="1"/>
      <c r="O33" s="1"/>
      <c r="P33" s="42"/>
      <c r="W33" s="35"/>
      <c r="X33" s="8"/>
      <c r="Y33" s="8"/>
    </row>
    <row r="34" spans="1:25" x14ac:dyDescent="0.3">
      <c r="A34" s="84" t="s">
        <v>55</v>
      </c>
      <c r="B34" s="84">
        <f>(B11)*(B10)*(B7)</f>
        <v>48</v>
      </c>
      <c r="C34" s="150" t="s">
        <v>144</v>
      </c>
      <c r="D34" s="188"/>
      <c r="E34" s="163"/>
      <c r="F34" s="189"/>
      <c r="I34" s="8"/>
      <c r="J34" s="1"/>
      <c r="K34" s="1"/>
      <c r="L34" s="1"/>
      <c r="M34" s="1"/>
      <c r="N34" s="1"/>
      <c r="O34" s="1"/>
      <c r="P34" s="42"/>
      <c r="W34" s="35"/>
      <c r="X34" s="8"/>
      <c r="Y34" s="8"/>
    </row>
    <row r="35" spans="1:25" x14ac:dyDescent="0.3">
      <c r="A35" s="84" t="s">
        <v>56</v>
      </c>
      <c r="B35" s="84">
        <f>(B11+B12+B13)*(B9-B10)*(B7)</f>
        <v>153.00000000000003</v>
      </c>
      <c r="C35" s="150" t="s">
        <v>145</v>
      </c>
      <c r="D35" s="188"/>
      <c r="E35" s="163"/>
      <c r="F35" s="189"/>
      <c r="I35" s="8"/>
      <c r="J35" s="1"/>
      <c r="K35" s="1"/>
      <c r="L35" s="1"/>
      <c r="M35" s="1"/>
      <c r="N35" s="1"/>
      <c r="O35" s="1"/>
      <c r="P35" s="42"/>
      <c r="W35" s="35"/>
      <c r="X35" s="8"/>
      <c r="Y35" s="8"/>
    </row>
    <row r="36" spans="1:25" ht="15" thickBot="1" x14ac:dyDescent="0.35">
      <c r="A36" s="85" t="s">
        <v>53</v>
      </c>
      <c r="B36" s="85">
        <f>B34+B35</f>
        <v>201.00000000000003</v>
      </c>
      <c r="C36" s="151"/>
      <c r="D36" s="188"/>
      <c r="E36" s="163"/>
      <c r="F36" s="189"/>
      <c r="I36" s="8"/>
      <c r="J36" s="1"/>
      <c r="K36" s="1"/>
      <c r="L36" s="1"/>
      <c r="M36" s="1"/>
      <c r="N36" s="1"/>
      <c r="O36" s="1"/>
      <c r="P36" s="42"/>
      <c r="W36" s="35"/>
      <c r="X36" s="8"/>
      <c r="Y36" s="8"/>
    </row>
    <row r="37" spans="1:25" ht="15" thickBot="1" x14ac:dyDescent="0.35">
      <c r="A37" s="148"/>
      <c r="B37" s="149"/>
      <c r="C37" s="149"/>
      <c r="D37" s="190"/>
      <c r="E37" s="191"/>
      <c r="F37" s="192"/>
      <c r="I37" s="8"/>
      <c r="J37" s="1"/>
      <c r="K37" s="1"/>
      <c r="L37" s="1"/>
      <c r="M37" s="1"/>
      <c r="N37" s="1"/>
      <c r="O37" s="1"/>
      <c r="P37" s="42"/>
      <c r="W37" s="35"/>
      <c r="X37" s="8"/>
      <c r="Y37" s="8"/>
    </row>
    <row r="38" spans="1:25" x14ac:dyDescent="0.3">
      <c r="A38" s="104" t="s">
        <v>88</v>
      </c>
      <c r="B38" s="108">
        <f>B40-B34-B32</f>
        <v>163275.96</v>
      </c>
      <c r="C38" s="89" t="s">
        <v>89</v>
      </c>
      <c r="D38" s="86" t="s">
        <v>90</v>
      </c>
      <c r="E38" s="134">
        <f>E23</f>
        <v>1040.826</v>
      </c>
      <c r="F38" s="89" t="s">
        <v>98</v>
      </c>
      <c r="I38" s="8"/>
      <c r="J38" s="1"/>
      <c r="K38" s="1"/>
      <c r="L38" s="1"/>
      <c r="M38" s="1"/>
      <c r="N38" s="1"/>
      <c r="O38" s="1"/>
      <c r="P38" s="42"/>
      <c r="W38" s="35"/>
      <c r="X38" s="8"/>
      <c r="Y38" s="8"/>
    </row>
    <row r="39" spans="1:25" x14ac:dyDescent="0.3">
      <c r="A39" s="92" t="s">
        <v>87</v>
      </c>
      <c r="B39" s="94">
        <f>B40-B32</f>
        <v>163323.96</v>
      </c>
      <c r="C39" s="84" t="s">
        <v>91</v>
      </c>
      <c r="D39" s="87"/>
      <c r="E39" s="123"/>
      <c r="F39" s="97"/>
      <c r="I39" s="8"/>
      <c r="J39" s="1"/>
      <c r="K39" s="1"/>
      <c r="L39" s="1"/>
      <c r="M39" s="1"/>
      <c r="N39" s="1"/>
      <c r="O39" s="1"/>
      <c r="P39" s="42"/>
      <c r="W39" s="35"/>
      <c r="X39" s="8"/>
      <c r="Y39" s="8"/>
    </row>
    <row r="40" spans="1:25" x14ac:dyDescent="0.3">
      <c r="A40" s="92"/>
      <c r="B40" s="94">
        <f>B26</f>
        <v>163371.96</v>
      </c>
      <c r="C40" s="96">
        <v>1.6E-2</v>
      </c>
      <c r="D40" s="87"/>
      <c r="E40" s="123">
        <f>E38+((B9-0.03)*(B11+B12+B13)*(B7))</f>
        <v>1067.826</v>
      </c>
      <c r="F40" s="96">
        <v>0.03</v>
      </c>
      <c r="I40" s="8"/>
      <c r="J40" s="1"/>
      <c r="K40" s="1"/>
      <c r="L40" s="1"/>
      <c r="M40" s="1"/>
      <c r="N40" s="1"/>
      <c r="O40" s="1"/>
      <c r="P40" s="42"/>
      <c r="W40" s="35"/>
      <c r="X40" s="8"/>
      <c r="Y40" s="8"/>
    </row>
    <row r="41" spans="1:25" x14ac:dyDescent="0.3">
      <c r="A41" s="92"/>
      <c r="B41" s="94">
        <f>B40+((0.03-B10)*(B11+B12+B13)*(B7))</f>
        <v>163497.96</v>
      </c>
      <c r="C41" s="96">
        <v>0.03</v>
      </c>
      <c r="D41" s="87"/>
      <c r="E41" s="123">
        <f>E38+((B9-B10)*(B11+B12+B13)*(B7))</f>
        <v>1193.826</v>
      </c>
      <c r="F41" s="96">
        <v>1.6E-2</v>
      </c>
      <c r="I41" s="8"/>
      <c r="J41" s="1"/>
      <c r="K41" s="1"/>
      <c r="L41" s="1"/>
      <c r="M41" s="1"/>
      <c r="N41" s="1"/>
      <c r="O41" s="1"/>
      <c r="P41" s="42"/>
      <c r="W41" s="35"/>
      <c r="X41" s="8"/>
      <c r="Y41" s="8"/>
    </row>
    <row r="42" spans="1:25" x14ac:dyDescent="0.3">
      <c r="A42" s="92"/>
      <c r="B42" s="94"/>
      <c r="C42" s="96"/>
      <c r="D42" s="87"/>
      <c r="E42" s="123">
        <f>E41+((B10)*(B11)*(B7))</f>
        <v>1241.826</v>
      </c>
      <c r="F42" s="96" t="s">
        <v>99</v>
      </c>
      <c r="I42" s="8"/>
      <c r="J42" s="1"/>
      <c r="K42" s="1"/>
      <c r="L42" s="1"/>
      <c r="M42" s="1"/>
      <c r="N42" s="1"/>
      <c r="O42" s="1"/>
      <c r="P42" s="42"/>
      <c r="W42" s="35"/>
      <c r="X42" s="8"/>
      <c r="Y42" s="8"/>
    </row>
    <row r="43" spans="1:25" ht="15" thickBot="1" x14ac:dyDescent="0.35">
      <c r="A43" s="93" t="s">
        <v>90</v>
      </c>
      <c r="B43" s="95">
        <f>B39+B36</f>
        <v>163524.96</v>
      </c>
      <c r="C43" s="105">
        <v>3.3000000000000002E-2</v>
      </c>
      <c r="D43" s="88"/>
      <c r="E43" s="135">
        <f>E41+((B10+B10)*(B11)*(B7))</f>
        <v>1289.826</v>
      </c>
      <c r="F43" s="85" t="s">
        <v>84</v>
      </c>
      <c r="I43" s="8"/>
      <c r="J43" s="1"/>
      <c r="K43" s="1"/>
      <c r="L43" s="1"/>
      <c r="M43" s="1"/>
      <c r="N43" s="1"/>
      <c r="O43" s="1"/>
      <c r="P43" s="42"/>
      <c r="W43" s="35"/>
      <c r="X43" s="8"/>
      <c r="Y43" s="8"/>
    </row>
    <row r="44" spans="1:25" x14ac:dyDescent="0.3">
      <c r="I44" s="8"/>
      <c r="J44" s="1"/>
      <c r="K44" s="1"/>
      <c r="L44" s="1"/>
      <c r="M44" s="1"/>
      <c r="N44" s="1"/>
      <c r="O44" s="1"/>
      <c r="P44" s="42"/>
      <c r="W44" s="35"/>
      <c r="X44" s="8"/>
      <c r="Y44" s="8"/>
    </row>
    <row r="45" spans="1:25" x14ac:dyDescent="0.3">
      <c r="I45" s="8"/>
      <c r="J45" s="1"/>
      <c r="K45" s="1"/>
      <c r="L45" s="1"/>
      <c r="M45" s="1"/>
      <c r="N45" s="1"/>
      <c r="O45" s="1"/>
      <c r="P45" s="42"/>
      <c r="W45" s="35"/>
      <c r="X45" s="8"/>
      <c r="Y45" s="8"/>
    </row>
    <row r="46" spans="1:25" x14ac:dyDescent="0.3">
      <c r="I46" s="8"/>
      <c r="J46" s="1"/>
      <c r="K46" s="1"/>
      <c r="L46" s="1"/>
      <c r="M46" s="1"/>
      <c r="N46" s="1"/>
      <c r="O46" s="1"/>
      <c r="P46" s="42"/>
      <c r="W46" s="35"/>
      <c r="X46" s="8"/>
      <c r="Y46" s="8"/>
    </row>
    <row r="47" spans="1:25" x14ac:dyDescent="0.3">
      <c r="I47" s="8"/>
      <c r="J47" s="1"/>
      <c r="K47" s="1"/>
      <c r="L47" s="1"/>
      <c r="M47" s="1"/>
      <c r="N47" s="1"/>
      <c r="O47" s="1"/>
      <c r="P47" s="42"/>
      <c r="W47" s="35"/>
      <c r="X47" s="8"/>
      <c r="Y47" s="8"/>
    </row>
    <row r="48" spans="1:25" x14ac:dyDescent="0.3">
      <c r="I48" s="8"/>
      <c r="J48" s="1"/>
      <c r="K48" s="1"/>
      <c r="L48" s="1"/>
      <c r="M48" s="1"/>
      <c r="N48" s="1"/>
      <c r="O48" s="1"/>
      <c r="P48" s="42"/>
      <c r="W48" s="35"/>
      <c r="X48" s="8"/>
      <c r="Y48" s="8"/>
    </row>
    <row r="49" spans="1:25" x14ac:dyDescent="0.3">
      <c r="I49" s="8"/>
      <c r="J49" s="1"/>
      <c r="K49" s="1"/>
      <c r="L49" s="1"/>
      <c r="M49" s="1"/>
      <c r="N49" s="1"/>
      <c r="O49" s="1"/>
      <c r="P49" s="42"/>
      <c r="W49" s="35"/>
      <c r="X49" s="8"/>
      <c r="Y49" s="8"/>
    </row>
    <row r="50" spans="1:25" x14ac:dyDescent="0.3">
      <c r="I50" s="8"/>
      <c r="J50" s="1"/>
      <c r="K50" s="1"/>
      <c r="L50" s="1"/>
      <c r="M50" s="1"/>
      <c r="N50" s="1"/>
      <c r="O50" s="1"/>
      <c r="P50" s="42"/>
      <c r="W50" s="35"/>
      <c r="X50" s="8"/>
      <c r="Y50" s="8"/>
    </row>
    <row r="51" spans="1:25" ht="15" thickBot="1" x14ac:dyDescent="0.35">
      <c r="I51" s="8"/>
      <c r="J51" s="1"/>
      <c r="K51" s="1"/>
      <c r="L51" s="1"/>
      <c r="M51" s="1"/>
      <c r="N51" s="1"/>
      <c r="O51" s="1"/>
      <c r="P51" s="42"/>
      <c r="W51" s="35"/>
      <c r="X51" s="8"/>
      <c r="Y51" s="8"/>
    </row>
    <row r="52" spans="1:25" x14ac:dyDescent="0.3">
      <c r="I52" s="63"/>
      <c r="J52" s="64"/>
      <c r="K52" s="64"/>
      <c r="L52" s="64"/>
      <c r="M52" s="64"/>
      <c r="N52" s="64"/>
      <c r="O52" s="64"/>
      <c r="P52" s="65"/>
      <c r="Q52" s="65"/>
      <c r="R52" s="65"/>
      <c r="S52" s="64"/>
      <c r="T52" s="64"/>
      <c r="U52" s="64"/>
      <c r="V52" s="64"/>
      <c r="W52" s="66"/>
      <c r="X52" s="8"/>
      <c r="Y52" s="8"/>
    </row>
    <row r="53" spans="1:25" x14ac:dyDescent="0.3">
      <c r="A53" s="35"/>
      <c r="I53" s="67"/>
      <c r="J53" s="165" t="s">
        <v>72</v>
      </c>
      <c r="K53" s="165"/>
      <c r="L53" s="165"/>
      <c r="M53" s="165"/>
      <c r="N53" s="165"/>
      <c r="O53" s="165"/>
      <c r="P53" s="49"/>
      <c r="Q53" s="164" t="s">
        <v>71</v>
      </c>
      <c r="R53" s="164"/>
      <c r="S53" s="164"/>
      <c r="T53" s="164"/>
      <c r="U53" s="164"/>
      <c r="V53" s="164"/>
      <c r="W53" s="68"/>
      <c r="X53" s="8"/>
      <c r="Y53" s="8"/>
    </row>
    <row r="54" spans="1:25" x14ac:dyDescent="0.3">
      <c r="I54" s="67"/>
      <c r="J54" s="48"/>
      <c r="K54" s="48"/>
      <c r="L54" s="48"/>
      <c r="M54" s="48"/>
      <c r="N54" s="48"/>
      <c r="O54" s="48"/>
      <c r="P54" s="49"/>
      <c r="Q54" s="49"/>
      <c r="R54" s="49"/>
      <c r="S54" s="48"/>
      <c r="T54" s="48"/>
      <c r="U54" s="48"/>
      <c r="V54" s="48"/>
      <c r="W54" s="68"/>
      <c r="X54" s="8"/>
      <c r="Y54" s="8"/>
    </row>
    <row r="55" spans="1:25" x14ac:dyDescent="0.3">
      <c r="I55" s="67"/>
      <c r="J55" s="48" t="s">
        <v>64</v>
      </c>
      <c r="K55" s="48" t="s">
        <v>68</v>
      </c>
      <c r="L55" s="48" t="s">
        <v>66</v>
      </c>
      <c r="M55" s="48" t="s">
        <v>65</v>
      </c>
      <c r="N55" s="50" t="s">
        <v>70</v>
      </c>
      <c r="O55" s="49" t="s">
        <v>67</v>
      </c>
      <c r="P55" s="50" t="s">
        <v>59</v>
      </c>
      <c r="Q55" s="49" t="s">
        <v>67</v>
      </c>
      <c r="R55" s="50" t="s">
        <v>70</v>
      </c>
      <c r="S55" s="48" t="s">
        <v>66</v>
      </c>
      <c r="T55" s="48" t="s">
        <v>68</v>
      </c>
      <c r="U55" s="48" t="s">
        <v>69</v>
      </c>
      <c r="V55" s="48" t="s">
        <v>64</v>
      </c>
      <c r="W55" s="68"/>
      <c r="X55" s="8"/>
      <c r="Y55" s="8"/>
    </row>
    <row r="56" spans="1:25" x14ac:dyDescent="0.3">
      <c r="I56" s="70" t="s">
        <v>78</v>
      </c>
      <c r="J56" s="112">
        <v>-0.04</v>
      </c>
      <c r="K56" s="112">
        <v>-1.6E-2</v>
      </c>
      <c r="L56" s="112">
        <v>-1.6E-2</v>
      </c>
      <c r="M56" s="112">
        <v>1.6E-2</v>
      </c>
      <c r="N56" s="51"/>
      <c r="O56" s="112">
        <v>-0.04</v>
      </c>
      <c r="P56" s="53">
        <f>(P61)-B15</f>
        <v>163179.96</v>
      </c>
      <c r="Q56" s="112">
        <v>-0.04</v>
      </c>
      <c r="R56" s="51"/>
      <c r="S56" s="112">
        <v>1.6E-2</v>
      </c>
      <c r="T56" s="112">
        <v>-1.6E-2</v>
      </c>
      <c r="U56" s="112">
        <v>-1.6E-2</v>
      </c>
      <c r="V56" s="112">
        <v>-0.04</v>
      </c>
      <c r="W56" s="69"/>
      <c r="X56" s="8"/>
      <c r="Y56" s="8"/>
    </row>
    <row r="57" spans="1:25" x14ac:dyDescent="0.3">
      <c r="I57" s="67"/>
      <c r="J57" s="112">
        <v>-0.04</v>
      </c>
      <c r="K57" s="113">
        <f>$K$56+((P57-$P$56)/(($B$13+$B$12)*($B$7)))</f>
        <v>-1.2659999999998641E-2</v>
      </c>
      <c r="L57" s="113">
        <f>$L$56+((P57-$P$56)/(($B$13+$B$12)*($B$7)))</f>
        <v>-1.2659999999998641E-2</v>
      </c>
      <c r="M57" s="112">
        <v>1.6E-2</v>
      </c>
      <c r="N57" s="51"/>
      <c r="O57" s="112">
        <v>-0.04</v>
      </c>
      <c r="P57" s="55">
        <v>163200</v>
      </c>
      <c r="Q57" s="112">
        <v>-0.04</v>
      </c>
      <c r="R57" s="51"/>
      <c r="S57" s="112">
        <v>1.6E-2</v>
      </c>
      <c r="T57" s="115">
        <v>-1.6E-2</v>
      </c>
      <c r="U57" s="115">
        <v>-1.6E-2</v>
      </c>
      <c r="V57" s="112">
        <v>-0.04</v>
      </c>
      <c r="W57" s="69"/>
      <c r="X57" s="8"/>
      <c r="Y57" s="8"/>
    </row>
    <row r="58" spans="1:25" x14ac:dyDescent="0.3">
      <c r="I58" s="67"/>
      <c r="J58" s="112">
        <v>-0.04</v>
      </c>
      <c r="K58" s="113">
        <f>$K$56+((P58-$P$56)/(($B$13+$B$12)*($B$7)))</f>
        <v>-8.4933333333319753E-3</v>
      </c>
      <c r="L58" s="113">
        <f>$L$56+((P58-$P$56)/(($B$13+$B$12)*($B$7)))</f>
        <v>-8.4933333333319753E-3</v>
      </c>
      <c r="M58" s="112">
        <v>1.6E-2</v>
      </c>
      <c r="N58" s="51"/>
      <c r="O58" s="112">
        <v>-0.04</v>
      </c>
      <c r="P58" s="55">
        <v>163225</v>
      </c>
      <c r="Q58" s="112">
        <v>-0.04</v>
      </c>
      <c r="R58" s="51"/>
      <c r="S58" s="112">
        <v>1.6E-2</v>
      </c>
      <c r="T58" s="115">
        <v>-1.6E-2</v>
      </c>
      <c r="U58" s="115">
        <v>-1.6E-2</v>
      </c>
      <c r="V58" s="112">
        <v>-0.04</v>
      </c>
      <c r="W58" s="69"/>
      <c r="X58" s="8"/>
      <c r="Y58" s="8"/>
    </row>
    <row r="59" spans="1:25" x14ac:dyDescent="0.3">
      <c r="I59" s="67"/>
      <c r="J59" s="112">
        <v>-0.04</v>
      </c>
      <c r="K59" s="113">
        <f>$K$56+((P59-$P$56)/(($B$13+$B$12)*($B$7)))</f>
        <v>-4.3266666666653096E-3</v>
      </c>
      <c r="L59" s="113">
        <f>$L$56+((P59-$P$56)/(($B$13+$B$12)*($B$7)))</f>
        <v>-4.3266666666653096E-3</v>
      </c>
      <c r="M59" s="112">
        <v>1.6E-2</v>
      </c>
      <c r="N59" s="51"/>
      <c r="O59" s="112">
        <v>-0.04</v>
      </c>
      <c r="P59" s="55">
        <v>163250</v>
      </c>
      <c r="Q59" s="112">
        <v>-0.04</v>
      </c>
      <c r="R59" s="51"/>
      <c r="S59" s="112">
        <v>1.6E-2</v>
      </c>
      <c r="T59" s="115">
        <v>-1.6E-2</v>
      </c>
      <c r="U59" s="115">
        <v>-1.6E-2</v>
      </c>
      <c r="V59" s="112">
        <v>-0.04</v>
      </c>
      <c r="W59" s="69"/>
      <c r="X59" s="8"/>
      <c r="Y59" s="8"/>
    </row>
    <row r="60" spans="1:25" x14ac:dyDescent="0.3">
      <c r="I60" s="67"/>
      <c r="J60" s="112">
        <v>-0.04</v>
      </c>
      <c r="K60" s="113">
        <f>$K$56+((P60-$P$56)/(($B$13+$B$12)*($B$7)))</f>
        <v>-1.5999999999864387E-4</v>
      </c>
      <c r="L60" s="113">
        <f>$L$56+((P60-$P$56)/(($B$13+$B$12)*($B$7)))</f>
        <v>-1.5999999999864387E-4</v>
      </c>
      <c r="M60" s="112">
        <v>1.6E-2</v>
      </c>
      <c r="N60" s="51"/>
      <c r="O60" s="112">
        <v>-0.04</v>
      </c>
      <c r="P60" s="55">
        <v>163275</v>
      </c>
      <c r="Q60" s="112">
        <v>-0.04</v>
      </c>
      <c r="R60" s="51"/>
      <c r="S60" s="112">
        <v>1.6E-2</v>
      </c>
      <c r="T60" s="115">
        <v>-1.6E-2</v>
      </c>
      <c r="U60" s="115">
        <v>-1.6E-2</v>
      </c>
      <c r="V60" s="112">
        <v>-0.04</v>
      </c>
      <c r="W60" s="69"/>
      <c r="X60" s="8"/>
      <c r="Y60" s="8"/>
    </row>
    <row r="61" spans="1:25" x14ac:dyDescent="0.3">
      <c r="I61" s="70" t="s">
        <v>77</v>
      </c>
      <c r="J61" s="112">
        <v>-0.04</v>
      </c>
      <c r="K61" s="113">
        <f>$K$56+((P61-$P$56)/(($B$13+$B$12)*($B$7)))</f>
        <v>0</v>
      </c>
      <c r="L61" s="113">
        <f>$L$56+((P61-$P$56)/(($B$13+$B$12)*($B$7)))</f>
        <v>0</v>
      </c>
      <c r="M61" s="112">
        <v>1.6E-2</v>
      </c>
      <c r="N61" s="51"/>
      <c r="O61" s="112">
        <v>-0.04</v>
      </c>
      <c r="P61" s="53">
        <f>(P70)-B20</f>
        <v>163275.96</v>
      </c>
      <c r="Q61" s="112">
        <v>-0.04</v>
      </c>
      <c r="R61" s="51"/>
      <c r="S61" s="112">
        <v>1.6E-2</v>
      </c>
      <c r="T61" s="115">
        <v>-1.6E-2</v>
      </c>
      <c r="U61" s="115">
        <v>-1.6E-2</v>
      </c>
      <c r="V61" s="112">
        <v>-0.04</v>
      </c>
      <c r="W61" s="69"/>
      <c r="X61" s="8"/>
      <c r="Y61" s="8"/>
    </row>
    <row r="62" spans="1:25" x14ac:dyDescent="0.3">
      <c r="I62" s="67"/>
      <c r="J62" s="112">
        <v>-0.04</v>
      </c>
      <c r="K62" s="113">
        <f t="shared" ref="K62:K63" si="0">$K$56+((P62-$P$56)/(($B$13+$B$12)*($B$7)))</f>
        <v>4.0066666666680253E-3</v>
      </c>
      <c r="L62" s="113">
        <f t="shared" ref="L62:L63" si="1">$L$56+((P62-$P$56)/(($B$13+$B$12)*($B$7)))</f>
        <v>4.0066666666680253E-3</v>
      </c>
      <c r="M62" s="115">
        <v>1.6E-2</v>
      </c>
      <c r="N62" s="51"/>
      <c r="O62" s="112">
        <v>-0.04</v>
      </c>
      <c r="P62" s="55">
        <v>163300</v>
      </c>
      <c r="Q62" s="112">
        <v>-0.04</v>
      </c>
      <c r="R62" s="51"/>
      <c r="S62" s="113">
        <f>$S$61-(((P62-$P$61)/(($B$11)*($B$7))))</f>
        <v>7.9866666666639514E-3</v>
      </c>
      <c r="T62" s="115">
        <v>-1.6E-2</v>
      </c>
      <c r="U62" s="115">
        <v>-1.6E-2</v>
      </c>
      <c r="V62" s="112">
        <v>-0.04</v>
      </c>
      <c r="W62" s="69"/>
      <c r="X62" s="8"/>
      <c r="Y62" s="8"/>
    </row>
    <row r="63" spans="1:25" x14ac:dyDescent="0.3">
      <c r="I63" s="70"/>
      <c r="J63" s="112">
        <v>-0.04</v>
      </c>
      <c r="K63" s="113">
        <f t="shared" si="0"/>
        <v>8.0000000000000002E-3</v>
      </c>
      <c r="L63" s="113">
        <f t="shared" si="1"/>
        <v>8.0000000000000002E-3</v>
      </c>
      <c r="M63" s="115">
        <v>1.6E-2</v>
      </c>
      <c r="N63" s="51"/>
      <c r="O63" s="112">
        <v>-0.04</v>
      </c>
      <c r="P63" s="53">
        <f>P61+(B15/2)</f>
        <v>163323.96</v>
      </c>
      <c r="Q63" s="112">
        <v>-0.04</v>
      </c>
      <c r="R63" s="51"/>
      <c r="S63" s="113">
        <f>$S$61-(((P63-$P$61)/(($B$11)*($B$7))))</f>
        <v>0</v>
      </c>
      <c r="T63" s="115">
        <v>-1.6E-2</v>
      </c>
      <c r="U63" s="115">
        <v>-1.6E-2</v>
      </c>
      <c r="V63" s="112">
        <v>-0.04</v>
      </c>
      <c r="W63" s="69" t="s">
        <v>77</v>
      </c>
      <c r="X63" s="8"/>
      <c r="Y63" s="8"/>
    </row>
    <row r="64" spans="1:25" x14ac:dyDescent="0.3">
      <c r="I64" s="70"/>
      <c r="J64" s="112">
        <v>-0.04</v>
      </c>
      <c r="K64" s="113">
        <f t="shared" ref="K64" si="2">$K$56+((P64-$P$56)/(($B$13+$B$12)*($B$7)))</f>
        <v>8.1733333333346911E-3</v>
      </c>
      <c r="L64" s="113">
        <f t="shared" ref="L64" si="3">$L$56+((P64-$P$56)/(($B$13+$B$12)*($B$7)))</f>
        <v>8.1733333333346911E-3</v>
      </c>
      <c r="M64" s="115">
        <v>1.6E-2</v>
      </c>
      <c r="N64" s="51"/>
      <c r="O64" s="112">
        <v>-0.04</v>
      </c>
      <c r="P64" s="55">
        <v>163325</v>
      </c>
      <c r="Q64" s="112">
        <v>-0.04</v>
      </c>
      <c r="R64" s="51"/>
      <c r="S64" s="113">
        <f>$S$61-(((P64-$P$61)/(($B$11)*($B$7))))</f>
        <v>-3.4666666666938184E-4</v>
      </c>
      <c r="T64" s="115">
        <v>-1.6E-2</v>
      </c>
      <c r="U64" s="115">
        <v>-1.6E-2</v>
      </c>
      <c r="V64" s="112">
        <v>-0.04</v>
      </c>
      <c r="W64" s="69"/>
      <c r="X64" s="8"/>
      <c r="Y64" s="8"/>
    </row>
    <row r="65" spans="9:25" x14ac:dyDescent="0.3">
      <c r="I65" s="67"/>
      <c r="J65" s="112">
        <v>-0.04</v>
      </c>
      <c r="K65" s="113">
        <f t="shared" ref="K65:K66" si="4">$K$56+((P65-$P$56)/(($B$13+$B$12)*($B$7)))</f>
        <v>1.2340000000001357E-2</v>
      </c>
      <c r="L65" s="113">
        <f t="shared" ref="L65" si="5">$L$56+((P65-$P$56)/(($B$13+$B$12)*($B$7)))</f>
        <v>1.2340000000001357E-2</v>
      </c>
      <c r="M65" s="115">
        <v>1.6E-2</v>
      </c>
      <c r="N65" s="51"/>
      <c r="O65" s="112">
        <v>-0.04</v>
      </c>
      <c r="P65" s="55">
        <v>163350</v>
      </c>
      <c r="Q65" s="112">
        <v>-0.04</v>
      </c>
      <c r="R65" s="51"/>
      <c r="S65" s="113">
        <f>$S$61-(((P65-$P$61)/(($B$11)*($B$7))))</f>
        <v>-8.6800000000027168E-3</v>
      </c>
      <c r="T65" s="115">
        <v>-1.6E-2</v>
      </c>
      <c r="U65" s="115">
        <v>-1.6E-2</v>
      </c>
      <c r="V65" s="112">
        <v>-0.04</v>
      </c>
      <c r="W65" s="69"/>
      <c r="X65" s="8"/>
      <c r="Y65" s="8"/>
    </row>
    <row r="66" spans="9:25" x14ac:dyDescent="0.3">
      <c r="I66" s="67"/>
      <c r="J66" s="112">
        <v>-0.04</v>
      </c>
      <c r="K66" s="113">
        <f t="shared" si="4"/>
        <v>1.6E-2</v>
      </c>
      <c r="L66" s="113">
        <f>$L$56+((P66-$P$56)/(($B$13+$B$12)*($B$7)))</f>
        <v>1.6E-2</v>
      </c>
      <c r="M66" s="115">
        <v>1.6E-2</v>
      </c>
      <c r="N66" s="51"/>
      <c r="O66" s="112">
        <v>-0.04</v>
      </c>
      <c r="P66" s="53">
        <f>P63+(B15/2)</f>
        <v>163371.96</v>
      </c>
      <c r="Q66" s="112">
        <v>-0.04</v>
      </c>
      <c r="R66" s="51"/>
      <c r="S66" s="113">
        <f>$S$61-(((P66-$P$61)/(($B$11)*($B$7))))</f>
        <v>-1.6E-2</v>
      </c>
      <c r="T66" s="115">
        <v>-1.6E-2</v>
      </c>
      <c r="U66" s="115">
        <v>-1.6E-2</v>
      </c>
      <c r="V66" s="112">
        <v>-0.04</v>
      </c>
      <c r="W66" s="69"/>
      <c r="X66" s="8"/>
      <c r="Y66" s="8"/>
    </row>
    <row r="67" spans="9:25" x14ac:dyDescent="0.3">
      <c r="I67" s="67"/>
      <c r="J67" s="112">
        <v>-0.04</v>
      </c>
      <c r="K67" s="113">
        <f t="shared" ref="K67" si="6">$K$56+((P67-$P$56)/(($B$13+$B$12)*($B$7)))</f>
        <v>1.6506666666668023E-2</v>
      </c>
      <c r="L67" s="113">
        <f>$L$56+((P67-$P$56)/(($B$13+$B$12)*($B$7)))</f>
        <v>1.6506666666668023E-2</v>
      </c>
      <c r="M67" s="113">
        <f t="shared" ref="M67:M75" si="7">(($M$66)+((P67-$P$66)/(($B$13+$B$12+$B$11)*($B$7))))</f>
        <v>1.6337777777778683E-2</v>
      </c>
      <c r="N67" s="51"/>
      <c r="O67" s="112">
        <v>-0.04</v>
      </c>
      <c r="P67" s="55">
        <v>163375</v>
      </c>
      <c r="Q67" s="112">
        <v>-0.04</v>
      </c>
      <c r="R67" s="51"/>
      <c r="S67" s="113">
        <f t="shared" ref="S67:S75" si="8">$S$66-((P67-$P$66)/(($B$11+$B$12+$B$13)*($B$7)))</f>
        <v>-1.6337777777778683E-2</v>
      </c>
      <c r="T67" s="113">
        <f t="shared" ref="T67:T75" si="9">$T$66-((P67-$P$66)/(($B$11+$B$12+$B$13)*($B$7)))</f>
        <v>-1.6337777777778683E-2</v>
      </c>
      <c r="U67" s="113">
        <f t="shared" ref="U67:U75" si="10">$U$66-((P67-$P$66)/(($B$11+$B$12+$B$13)*($B$7)))</f>
        <v>-1.6337777777778683E-2</v>
      </c>
      <c r="V67" s="112">
        <v>-0.04</v>
      </c>
      <c r="W67" s="69"/>
      <c r="X67" s="8"/>
      <c r="Y67" s="8"/>
    </row>
    <row r="68" spans="9:25" x14ac:dyDescent="0.3">
      <c r="I68" s="67"/>
      <c r="J68" s="112">
        <v>-0.04</v>
      </c>
      <c r="K68" s="113">
        <f t="shared" ref="K68:K75" si="11">$K$66+((P68-$P$66)/(($B$13+$B$12+$B$11)*($B$7)))</f>
        <v>1.9115555555556461E-2</v>
      </c>
      <c r="L68" s="113">
        <f t="shared" ref="L68:L75" si="12">$L$66+((P68-$P$66)/(($B$13+$B$12+$B$11)*($B$7)))</f>
        <v>1.9115555555556461E-2</v>
      </c>
      <c r="M68" s="113">
        <f t="shared" si="7"/>
        <v>1.9115555555556461E-2</v>
      </c>
      <c r="N68" s="51"/>
      <c r="O68" s="112">
        <v>-0.04</v>
      </c>
      <c r="P68" s="55">
        <v>163400</v>
      </c>
      <c r="Q68" s="112">
        <v>-0.04</v>
      </c>
      <c r="R68" s="51"/>
      <c r="S68" s="113">
        <f t="shared" si="8"/>
        <v>-1.9115555555556461E-2</v>
      </c>
      <c r="T68" s="113">
        <f t="shared" si="9"/>
        <v>-1.9115555555556461E-2</v>
      </c>
      <c r="U68" s="113">
        <f t="shared" si="10"/>
        <v>-1.9115555555556461E-2</v>
      </c>
      <c r="V68" s="112">
        <v>-0.04</v>
      </c>
      <c r="W68" s="69"/>
      <c r="X68" s="8"/>
      <c r="Y68" s="8"/>
    </row>
    <row r="69" spans="9:25" x14ac:dyDescent="0.3">
      <c r="I69" s="67"/>
      <c r="J69" s="112">
        <v>-0.04</v>
      </c>
      <c r="K69" s="113">
        <f t="shared" si="11"/>
        <v>2.189333333333424E-2</v>
      </c>
      <c r="L69" s="113">
        <f t="shared" si="12"/>
        <v>2.189333333333424E-2</v>
      </c>
      <c r="M69" s="113">
        <f t="shared" si="7"/>
        <v>2.189333333333424E-2</v>
      </c>
      <c r="N69" s="51"/>
      <c r="O69" s="112">
        <v>-0.04</v>
      </c>
      <c r="P69" s="55">
        <v>163425</v>
      </c>
      <c r="Q69" s="112">
        <v>-0.04</v>
      </c>
      <c r="R69" s="51"/>
      <c r="S69" s="113">
        <f t="shared" si="8"/>
        <v>-2.189333333333424E-2</v>
      </c>
      <c r="T69" s="113">
        <f t="shared" si="9"/>
        <v>-2.189333333333424E-2</v>
      </c>
      <c r="U69" s="113">
        <f t="shared" si="10"/>
        <v>-2.189333333333424E-2</v>
      </c>
      <c r="V69" s="112">
        <v>-0.04</v>
      </c>
      <c r="W69" s="69"/>
      <c r="X69" s="8"/>
      <c r="Y69" s="8"/>
    </row>
    <row r="70" spans="9:25" x14ac:dyDescent="0.3">
      <c r="I70" s="71" t="s">
        <v>43</v>
      </c>
      <c r="J70" s="112">
        <v>-0.04</v>
      </c>
      <c r="K70" s="113">
        <f t="shared" si="11"/>
        <v>2.377777777777778E-2</v>
      </c>
      <c r="L70" s="113">
        <f t="shared" si="12"/>
        <v>2.377777777777778E-2</v>
      </c>
      <c r="M70" s="113">
        <f t="shared" si="7"/>
        <v>2.377777777777778E-2</v>
      </c>
      <c r="N70" s="51"/>
      <c r="O70" s="112">
        <v>-0.04</v>
      </c>
      <c r="P70" s="53">
        <v>163441.96</v>
      </c>
      <c r="Q70" s="115">
        <v>-0.04</v>
      </c>
      <c r="R70" s="51"/>
      <c r="S70" s="113">
        <f t="shared" si="8"/>
        <v>-2.377777777777778E-2</v>
      </c>
      <c r="T70" s="113">
        <f t="shared" si="9"/>
        <v>-2.377777777777778E-2</v>
      </c>
      <c r="U70" s="113">
        <f t="shared" si="10"/>
        <v>-2.377777777777778E-2</v>
      </c>
      <c r="V70" s="112">
        <v>-0.04</v>
      </c>
      <c r="W70" s="69" t="s">
        <v>43</v>
      </c>
      <c r="X70" s="8"/>
      <c r="Y70" s="8"/>
    </row>
    <row r="71" spans="9:25" x14ac:dyDescent="0.3">
      <c r="I71" s="67"/>
      <c r="J71" s="112">
        <v>-0.04</v>
      </c>
      <c r="K71" s="113">
        <f t="shared" si="11"/>
        <v>2.4671111111112018E-2</v>
      </c>
      <c r="L71" s="113">
        <f t="shared" si="12"/>
        <v>2.4671111111112018E-2</v>
      </c>
      <c r="M71" s="113">
        <f t="shared" si="7"/>
        <v>2.4671111111112018E-2</v>
      </c>
      <c r="N71" s="51"/>
      <c r="O71" s="112">
        <v>-0.04</v>
      </c>
      <c r="P71" s="55">
        <v>163450</v>
      </c>
      <c r="Q71" s="115">
        <v>-0.04</v>
      </c>
      <c r="R71" s="51"/>
      <c r="S71" s="113">
        <f t="shared" si="8"/>
        <v>-2.4671111111112018E-2</v>
      </c>
      <c r="T71" s="113">
        <f t="shared" si="9"/>
        <v>-2.4671111111112018E-2</v>
      </c>
      <c r="U71" s="113">
        <f t="shared" si="10"/>
        <v>-2.4671111111112018E-2</v>
      </c>
      <c r="V71" s="112">
        <v>-0.04</v>
      </c>
      <c r="W71" s="69"/>
      <c r="X71" s="8"/>
      <c r="Y71" s="8"/>
    </row>
    <row r="72" spans="9:25" x14ac:dyDescent="0.3">
      <c r="I72" s="67"/>
      <c r="J72" s="112">
        <v>-0.04</v>
      </c>
      <c r="K72" s="113">
        <f t="shared" si="11"/>
        <v>2.7448888888889793E-2</v>
      </c>
      <c r="L72" s="113">
        <f t="shared" si="12"/>
        <v>2.7448888888889793E-2</v>
      </c>
      <c r="M72" s="113">
        <f t="shared" si="7"/>
        <v>2.7448888888889793E-2</v>
      </c>
      <c r="N72" s="51"/>
      <c r="O72" s="112">
        <v>-0.04</v>
      </c>
      <c r="P72" s="55">
        <v>163475</v>
      </c>
      <c r="Q72" s="115">
        <v>-0.04</v>
      </c>
      <c r="R72" s="51"/>
      <c r="S72" s="113">
        <f t="shared" si="8"/>
        <v>-2.7448888888889793E-2</v>
      </c>
      <c r="T72" s="113">
        <f t="shared" si="9"/>
        <v>-2.7448888888889793E-2</v>
      </c>
      <c r="U72" s="113">
        <f t="shared" si="10"/>
        <v>-2.7448888888889793E-2</v>
      </c>
      <c r="V72" s="112">
        <v>-0.04</v>
      </c>
      <c r="W72" s="69"/>
      <c r="X72" s="8"/>
      <c r="Y72" s="8"/>
    </row>
    <row r="73" spans="9:25" x14ac:dyDescent="0.3">
      <c r="I73" s="70" t="s">
        <v>82</v>
      </c>
      <c r="J73" s="112">
        <v>-0.04</v>
      </c>
      <c r="K73" s="113">
        <f t="shared" si="11"/>
        <v>0.03</v>
      </c>
      <c r="L73" s="113">
        <f t="shared" si="12"/>
        <v>0.03</v>
      </c>
      <c r="M73" s="113">
        <f t="shared" si="7"/>
        <v>0.03</v>
      </c>
      <c r="N73" s="51"/>
      <c r="O73" s="112">
        <v>-0.04</v>
      </c>
      <c r="P73" s="53">
        <f>P66+(((0.03-B10)*(B13+B12+B11)*(B7)))</f>
        <v>163497.96</v>
      </c>
      <c r="Q73" s="115">
        <v>-0.04</v>
      </c>
      <c r="R73" s="51"/>
      <c r="S73" s="113">
        <f t="shared" si="8"/>
        <v>-0.03</v>
      </c>
      <c r="T73" s="113">
        <f t="shared" si="9"/>
        <v>-0.03</v>
      </c>
      <c r="U73" s="113">
        <f t="shared" si="10"/>
        <v>-0.03</v>
      </c>
      <c r="V73" s="112">
        <v>-0.04</v>
      </c>
      <c r="W73" s="69" t="s">
        <v>75</v>
      </c>
      <c r="X73" s="8"/>
      <c r="Y73" s="8"/>
    </row>
    <row r="74" spans="9:25" x14ac:dyDescent="0.3">
      <c r="I74" s="67"/>
      <c r="J74" s="113">
        <f t="shared" ref="J74" si="13">-0.07+K74</f>
        <v>-3.9773333333332432E-2</v>
      </c>
      <c r="K74" s="113">
        <f t="shared" si="11"/>
        <v>3.0226666666667575E-2</v>
      </c>
      <c r="L74" s="113">
        <f t="shared" si="12"/>
        <v>3.0226666666667575E-2</v>
      </c>
      <c r="M74" s="113">
        <f t="shared" si="7"/>
        <v>3.0226666666667575E-2</v>
      </c>
      <c r="N74" s="51"/>
      <c r="O74" s="112">
        <v>-0.04</v>
      </c>
      <c r="P74" s="55">
        <v>163500</v>
      </c>
      <c r="Q74" s="113">
        <v>-0.04</v>
      </c>
      <c r="R74" s="51" t="s">
        <v>143</v>
      </c>
      <c r="S74" s="113">
        <f t="shared" si="8"/>
        <v>-3.0226666666667575E-2</v>
      </c>
      <c r="T74" s="113">
        <f t="shared" si="9"/>
        <v>-3.0226666666667575E-2</v>
      </c>
      <c r="U74" s="113">
        <f t="shared" si="10"/>
        <v>-3.0226666666667575E-2</v>
      </c>
      <c r="V74" s="112">
        <v>-0.04</v>
      </c>
      <c r="W74" s="69"/>
      <c r="X74" s="8"/>
      <c r="Y74" s="8"/>
    </row>
    <row r="75" spans="9:25" x14ac:dyDescent="0.3">
      <c r="I75" s="70" t="s">
        <v>79</v>
      </c>
      <c r="J75" s="113">
        <f>-0.07+K75</f>
        <v>-3.7000000000000005E-2</v>
      </c>
      <c r="K75" s="113">
        <f t="shared" si="11"/>
        <v>3.3000000000000002E-2</v>
      </c>
      <c r="L75" s="113">
        <f t="shared" si="12"/>
        <v>3.3000000000000002E-2</v>
      </c>
      <c r="M75" s="113">
        <f t="shared" si="7"/>
        <v>3.3000000000000002E-2</v>
      </c>
      <c r="N75" s="51"/>
      <c r="O75" s="112">
        <v>-0.04</v>
      </c>
      <c r="P75" s="53">
        <f>P70+(B21)</f>
        <v>163524.96</v>
      </c>
      <c r="Q75" s="113">
        <v>-0.04</v>
      </c>
      <c r="R75" s="51" t="s">
        <v>143</v>
      </c>
      <c r="S75" s="113">
        <f t="shared" si="8"/>
        <v>-3.3000000000000002E-2</v>
      </c>
      <c r="T75" s="113">
        <f t="shared" si="9"/>
        <v>-3.3000000000000002E-2</v>
      </c>
      <c r="U75" s="113">
        <f t="shared" si="10"/>
        <v>-3.3000000000000002E-2</v>
      </c>
      <c r="V75" s="112">
        <v>-0.04</v>
      </c>
      <c r="W75" s="69" t="s">
        <v>79</v>
      </c>
      <c r="X75" s="8"/>
      <c r="Y75" s="8"/>
    </row>
    <row r="76" spans="9:25" x14ac:dyDescent="0.3">
      <c r="I76" s="67"/>
      <c r="J76" s="115">
        <f t="shared" ref="J76:J78" si="14">-0.07+K76</f>
        <v>-3.7000000000000005E-2</v>
      </c>
      <c r="K76" s="112">
        <v>3.3000000000000002E-2</v>
      </c>
      <c r="L76" s="112">
        <v>3.3000000000000002E-2</v>
      </c>
      <c r="M76" s="112">
        <v>3.3000000000000002E-2</v>
      </c>
      <c r="N76" s="51"/>
      <c r="O76" s="112">
        <v>-0.04</v>
      </c>
      <c r="P76" s="55">
        <v>163525</v>
      </c>
      <c r="Q76" s="112">
        <v>-0.04</v>
      </c>
      <c r="R76" s="51"/>
      <c r="S76" s="112">
        <v>-3.3000000000000002E-2</v>
      </c>
      <c r="T76" s="112">
        <v>-3.3000000000000002E-2</v>
      </c>
      <c r="U76" s="112">
        <v>-3.3000000000000002E-2</v>
      </c>
      <c r="V76" s="112">
        <v>-0.04</v>
      </c>
      <c r="W76" s="69"/>
      <c r="X76" s="8"/>
      <c r="Y76" s="8"/>
    </row>
    <row r="77" spans="9:25" x14ac:dyDescent="0.3">
      <c r="I77" s="67"/>
      <c r="J77" s="115">
        <f t="shared" si="14"/>
        <v>-3.7000000000000005E-2</v>
      </c>
      <c r="K77" s="112">
        <v>3.3000000000000002E-2</v>
      </c>
      <c r="L77" s="112">
        <v>3.3000000000000002E-2</v>
      </c>
      <c r="M77" s="112">
        <v>3.3000000000000002E-2</v>
      </c>
      <c r="N77" s="51"/>
      <c r="O77" s="112">
        <v>-0.04</v>
      </c>
      <c r="P77" s="55">
        <v>163550</v>
      </c>
      <c r="Q77" s="112">
        <v>-0.04</v>
      </c>
      <c r="R77" s="51"/>
      <c r="S77" s="112">
        <v>-3.3000000000000002E-2</v>
      </c>
      <c r="T77" s="112">
        <v>-3.3000000000000002E-2</v>
      </c>
      <c r="U77" s="112">
        <v>-3.3000000000000002E-2</v>
      </c>
      <c r="V77" s="112">
        <v>-0.04</v>
      </c>
      <c r="W77" s="69"/>
      <c r="X77" s="8"/>
      <c r="Y77" s="8"/>
    </row>
    <row r="78" spans="9:25" x14ac:dyDescent="0.3">
      <c r="I78" s="67"/>
      <c r="J78" s="115">
        <f t="shared" si="14"/>
        <v>-3.7000000000000005E-2</v>
      </c>
      <c r="K78" s="112">
        <v>3.3000000000000002E-2</v>
      </c>
      <c r="L78" s="112">
        <v>3.3000000000000002E-2</v>
      </c>
      <c r="M78" s="112">
        <v>3.3000000000000002E-2</v>
      </c>
      <c r="N78" s="51"/>
      <c r="O78" s="112">
        <v>-0.04</v>
      </c>
      <c r="P78" s="55">
        <v>163575</v>
      </c>
      <c r="Q78" s="112">
        <v>-0.04</v>
      </c>
      <c r="R78" s="51"/>
      <c r="S78" s="112">
        <v>-3.3000000000000002E-2</v>
      </c>
      <c r="T78" s="112">
        <v>-3.3000000000000002E-2</v>
      </c>
      <c r="U78" s="112">
        <v>-3.3000000000000002E-2</v>
      </c>
      <c r="V78" s="112">
        <v>-0.04</v>
      </c>
      <c r="W78" s="69"/>
      <c r="X78" s="8"/>
      <c r="Y78" s="8"/>
    </row>
    <row r="79" spans="9:25" x14ac:dyDescent="0.3">
      <c r="I79" s="67"/>
      <c r="J79" s="166" t="s">
        <v>76</v>
      </c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69"/>
      <c r="X79" s="8"/>
      <c r="Y79" s="8"/>
    </row>
    <row r="80" spans="9:25" x14ac:dyDescent="0.3">
      <c r="I80" s="67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69"/>
      <c r="X80" s="8"/>
      <c r="Y80" s="8"/>
    </row>
    <row r="81" spans="1:25" ht="52.2" customHeight="1" x14ac:dyDescent="0.3">
      <c r="I81" s="67">
        <f>(0.03-0.016)*(12+11.5+11)*(250)</f>
        <v>120.74999999999999</v>
      </c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69"/>
      <c r="X81" s="8"/>
      <c r="Y81" s="8"/>
    </row>
    <row r="82" spans="1:25" ht="14.4" customHeight="1" x14ac:dyDescent="0.3">
      <c r="I82" s="67"/>
      <c r="J82" s="112">
        <f>-0.07+K82</f>
        <v>-3.7000000000000005E-2</v>
      </c>
      <c r="K82" s="112">
        <v>3.3000000000000002E-2</v>
      </c>
      <c r="L82" s="112">
        <v>3.3000000000000002E-2</v>
      </c>
      <c r="M82" s="112">
        <v>3.3000000000000002E-2</v>
      </c>
      <c r="N82" s="51"/>
      <c r="O82" s="115">
        <v>-0.04</v>
      </c>
      <c r="P82" s="130">
        <v>975</v>
      </c>
      <c r="Q82" s="112">
        <v>-0.04</v>
      </c>
      <c r="R82" s="51"/>
      <c r="S82" s="112">
        <f t="shared" ref="S82:U84" si="15">S75</f>
        <v>-3.3000000000000002E-2</v>
      </c>
      <c r="T82" s="112">
        <f t="shared" si="15"/>
        <v>-3.3000000000000002E-2</v>
      </c>
      <c r="U82" s="112">
        <f t="shared" si="15"/>
        <v>-3.3000000000000002E-2</v>
      </c>
      <c r="V82" s="112">
        <v>-0.04</v>
      </c>
      <c r="W82" s="69"/>
      <c r="X82" s="8"/>
      <c r="Y82" s="8"/>
    </row>
    <row r="83" spans="1:25" s="45" customFormat="1" ht="14.4" customHeight="1" x14ac:dyDescent="0.3">
      <c r="A83" s="35"/>
      <c r="B83" s="35"/>
      <c r="C83" s="35"/>
      <c r="D83" s="35"/>
      <c r="E83" s="35"/>
      <c r="F83" s="35"/>
      <c r="G83" s="35"/>
      <c r="H83" s="35"/>
      <c r="I83" s="70"/>
      <c r="J83" s="112">
        <f t="shared" ref="J83:J85" si="16">-0.07+K83</f>
        <v>-3.7000000000000005E-2</v>
      </c>
      <c r="K83" s="112">
        <v>3.3000000000000002E-2</v>
      </c>
      <c r="L83" s="112">
        <v>3.3000000000000002E-2</v>
      </c>
      <c r="M83" s="112">
        <v>3.3000000000000002E-2</v>
      </c>
      <c r="N83" s="51"/>
      <c r="O83" s="115">
        <v>-0.04</v>
      </c>
      <c r="P83" s="127">
        <v>1000</v>
      </c>
      <c r="Q83" s="112">
        <v>-0.04</v>
      </c>
      <c r="R83" s="51"/>
      <c r="S83" s="112">
        <f t="shared" si="15"/>
        <v>-3.3000000000000002E-2</v>
      </c>
      <c r="T83" s="112">
        <f t="shared" si="15"/>
        <v>-3.3000000000000002E-2</v>
      </c>
      <c r="U83" s="112">
        <f t="shared" si="15"/>
        <v>-3.3000000000000002E-2</v>
      </c>
      <c r="V83" s="112">
        <v>-0.04</v>
      </c>
      <c r="W83" s="69"/>
      <c r="X83" s="35"/>
      <c r="Y83" s="35"/>
    </row>
    <row r="84" spans="1:25" s="45" customFormat="1" x14ac:dyDescent="0.3">
      <c r="A84" s="35"/>
      <c r="B84" s="35"/>
      <c r="C84" s="35"/>
      <c r="D84" s="35"/>
      <c r="E84" s="35"/>
      <c r="F84" s="35"/>
      <c r="G84" s="35"/>
      <c r="H84" s="35"/>
      <c r="I84" s="70"/>
      <c r="J84" s="112">
        <f t="shared" si="16"/>
        <v>-3.7000000000000005E-2</v>
      </c>
      <c r="K84" s="112">
        <v>3.3000000000000002E-2</v>
      </c>
      <c r="L84" s="112">
        <v>3.3000000000000002E-2</v>
      </c>
      <c r="M84" s="112">
        <v>3.3000000000000002E-2</v>
      </c>
      <c r="N84" s="51"/>
      <c r="O84" s="115">
        <v>-0.04</v>
      </c>
      <c r="P84" s="128">
        <v>1025</v>
      </c>
      <c r="Q84" s="112">
        <v>-0.04</v>
      </c>
      <c r="R84" s="51"/>
      <c r="S84" s="112">
        <f t="shared" si="15"/>
        <v>-3.3000000000000002E-2</v>
      </c>
      <c r="T84" s="112">
        <f t="shared" si="15"/>
        <v>-3.3000000000000002E-2</v>
      </c>
      <c r="U84" s="112">
        <f t="shared" si="15"/>
        <v>-3.3000000000000002E-2</v>
      </c>
      <c r="V84" s="112">
        <v>-0.04</v>
      </c>
      <c r="W84" s="69"/>
      <c r="X84" s="35"/>
      <c r="Y84" s="35"/>
    </row>
    <row r="85" spans="1:25" x14ac:dyDescent="0.3">
      <c r="I85" s="70" t="s">
        <v>80</v>
      </c>
      <c r="J85" s="112">
        <f t="shared" si="16"/>
        <v>-3.7000000000000005E-2</v>
      </c>
      <c r="K85" s="112">
        <v>3.3000000000000002E-2</v>
      </c>
      <c r="L85" s="112">
        <v>3.3000000000000002E-2</v>
      </c>
      <c r="M85" s="112">
        <v>3.3000000000000002E-2</v>
      </c>
      <c r="N85" s="51"/>
      <c r="O85" s="115">
        <v>-0.04</v>
      </c>
      <c r="P85" s="129">
        <f>P90-B21</f>
        <v>1040.826</v>
      </c>
      <c r="Q85" s="112">
        <v>-0.04</v>
      </c>
      <c r="R85" s="51"/>
      <c r="S85" s="112">
        <f>S78</f>
        <v>-3.3000000000000002E-2</v>
      </c>
      <c r="T85" s="112">
        <f>T78</f>
        <v>-3.3000000000000002E-2</v>
      </c>
      <c r="U85" s="112">
        <f>U78</f>
        <v>-3.3000000000000002E-2</v>
      </c>
      <c r="V85" s="112">
        <v>-0.04</v>
      </c>
      <c r="W85" s="68" t="s">
        <v>80</v>
      </c>
      <c r="X85" s="8"/>
      <c r="Y85" s="8"/>
    </row>
    <row r="86" spans="1:25" x14ac:dyDescent="0.3">
      <c r="I86" s="70"/>
      <c r="J86" s="113">
        <f>-0.07+K86</f>
        <v>-3.8019333333333336E-2</v>
      </c>
      <c r="K86" s="113">
        <f t="shared" ref="K86:K94" si="17">$K$85-((P86-$P$85)/(($B$13+$B$12+$B$11)*($B$7)))</f>
        <v>3.1980666666666671E-2</v>
      </c>
      <c r="L86" s="113">
        <f t="shared" ref="L86:L94" si="18">$L$85-((P86-$P$85)/(($B$13+$B$12+$B$11)*($B$7)))</f>
        <v>3.1980666666666671E-2</v>
      </c>
      <c r="M86" s="113">
        <f t="shared" ref="M86:M94" si="19">$M$85-((P86-P$85)/(($B$13+$B$12+$B$11)*($B$7)))</f>
        <v>3.1980666666666671E-2</v>
      </c>
      <c r="N86" s="51"/>
      <c r="O86" s="115">
        <v>-0.04</v>
      </c>
      <c r="P86" s="128">
        <v>1050</v>
      </c>
      <c r="Q86" s="113">
        <v>-0.04</v>
      </c>
      <c r="R86" s="51" t="s">
        <v>143</v>
      </c>
      <c r="S86" s="113">
        <f t="shared" ref="S86:S94" si="20">$S$85+((P86-$P$85)/(($B$7)*($B$11+$B$12+$B$13)))</f>
        <v>-3.1980666666666671E-2</v>
      </c>
      <c r="T86" s="113">
        <f t="shared" ref="T86:T94" si="21">$T$85+((P86-$P$85)/(($B$7)*($B$11+$B$12+$B$13)))</f>
        <v>-3.1980666666666671E-2</v>
      </c>
      <c r="U86" s="113">
        <f t="shared" ref="U86:U94" si="22">$U$85+((P86-$P$85)/(($B$7)*($B$11+$B$12+$B$13)))</f>
        <v>-3.1980666666666671E-2</v>
      </c>
      <c r="V86" s="112">
        <v>-0.04</v>
      </c>
      <c r="W86" s="68"/>
      <c r="X86" s="8"/>
      <c r="Y86" s="8"/>
    </row>
    <row r="87" spans="1:25" x14ac:dyDescent="0.3">
      <c r="I87" s="70" t="s">
        <v>82</v>
      </c>
      <c r="J87" s="113">
        <f>-0.07+K87</f>
        <v>-4.0000000000000008E-2</v>
      </c>
      <c r="K87" s="113">
        <f t="shared" si="17"/>
        <v>3.0000000000000002E-2</v>
      </c>
      <c r="L87" s="113">
        <f t="shared" si="18"/>
        <v>3.0000000000000002E-2</v>
      </c>
      <c r="M87" s="113">
        <f t="shared" si="19"/>
        <v>3.0000000000000002E-2</v>
      </c>
      <c r="N87" s="51"/>
      <c r="O87" s="115">
        <v>-0.04</v>
      </c>
      <c r="P87" s="129">
        <f>P85+((B13+B12+B11)*(B9-0.03)*(B7))</f>
        <v>1067.826</v>
      </c>
      <c r="Q87" s="113">
        <v>-0.04</v>
      </c>
      <c r="R87" s="51" t="s">
        <v>143</v>
      </c>
      <c r="S87" s="113">
        <f t="shared" si="20"/>
        <v>-3.0000000000000002E-2</v>
      </c>
      <c r="T87" s="113">
        <f t="shared" si="21"/>
        <v>-3.0000000000000002E-2</v>
      </c>
      <c r="U87" s="113">
        <f t="shared" si="22"/>
        <v>-3.0000000000000002E-2</v>
      </c>
      <c r="V87" s="112">
        <v>-0.04</v>
      </c>
      <c r="W87" s="68" t="s">
        <v>75</v>
      </c>
      <c r="X87" s="8"/>
      <c r="Y87" s="8"/>
    </row>
    <row r="88" spans="1:25" x14ac:dyDescent="0.3">
      <c r="I88" s="70"/>
      <c r="J88" s="112">
        <v>-0.04</v>
      </c>
      <c r="K88" s="113">
        <f t="shared" si="17"/>
        <v>2.9202888888888893E-2</v>
      </c>
      <c r="L88" s="113">
        <f t="shared" si="18"/>
        <v>2.9202888888888893E-2</v>
      </c>
      <c r="M88" s="113">
        <f t="shared" si="19"/>
        <v>2.9202888888888893E-2</v>
      </c>
      <c r="N88" s="51"/>
      <c r="O88" s="115">
        <v>-0.04</v>
      </c>
      <c r="P88" s="128">
        <v>1075</v>
      </c>
      <c r="Q88" s="115">
        <v>-0.04</v>
      </c>
      <c r="R88" s="51"/>
      <c r="S88" s="113">
        <f t="shared" si="20"/>
        <v>-2.9202888888888893E-2</v>
      </c>
      <c r="T88" s="113">
        <f t="shared" si="21"/>
        <v>-2.9202888888888893E-2</v>
      </c>
      <c r="U88" s="113">
        <f t="shared" si="22"/>
        <v>-2.9202888888888893E-2</v>
      </c>
      <c r="V88" s="112">
        <v>-0.04</v>
      </c>
      <c r="W88" s="68"/>
      <c r="X88" s="8"/>
      <c r="Y88" s="8"/>
    </row>
    <row r="89" spans="1:25" x14ac:dyDescent="0.3">
      <c r="I89" s="70"/>
      <c r="J89" s="112">
        <v>-0.04</v>
      </c>
      <c r="K89" s="113">
        <f t="shared" si="17"/>
        <v>2.6425111111111114E-2</v>
      </c>
      <c r="L89" s="113">
        <f t="shared" si="18"/>
        <v>2.6425111111111114E-2</v>
      </c>
      <c r="M89" s="113">
        <f t="shared" si="19"/>
        <v>2.6425111111111114E-2</v>
      </c>
      <c r="N89" s="51"/>
      <c r="O89" s="115">
        <v>-0.04</v>
      </c>
      <c r="P89" s="128">
        <v>1100</v>
      </c>
      <c r="Q89" s="115">
        <v>-0.04</v>
      </c>
      <c r="R89" s="51"/>
      <c r="S89" s="113">
        <f t="shared" si="20"/>
        <v>-2.6425111111111114E-2</v>
      </c>
      <c r="T89" s="113">
        <f t="shared" si="21"/>
        <v>-2.6425111111111114E-2</v>
      </c>
      <c r="U89" s="113">
        <f t="shared" si="22"/>
        <v>-2.6425111111111114E-2</v>
      </c>
      <c r="V89" s="112">
        <v>-0.04</v>
      </c>
      <c r="W89" s="68"/>
      <c r="X89" s="8"/>
      <c r="Y89" s="8"/>
    </row>
    <row r="90" spans="1:25" s="47" customFormat="1" x14ac:dyDescent="0.3">
      <c r="A90" s="46"/>
      <c r="B90" s="46"/>
      <c r="C90" s="46"/>
      <c r="D90" s="46"/>
      <c r="E90" s="46"/>
      <c r="F90" s="46"/>
      <c r="G90" s="46"/>
      <c r="H90" s="46"/>
      <c r="I90" s="71" t="s">
        <v>44</v>
      </c>
      <c r="J90" s="112">
        <v>-0.04</v>
      </c>
      <c r="K90" s="113">
        <f t="shared" si="17"/>
        <v>2.377777777777778E-2</v>
      </c>
      <c r="L90" s="113">
        <f t="shared" si="18"/>
        <v>2.377777777777778E-2</v>
      </c>
      <c r="M90" s="113">
        <f t="shared" si="19"/>
        <v>2.377777777777778E-2</v>
      </c>
      <c r="N90" s="60"/>
      <c r="O90" s="115">
        <v>-0.04</v>
      </c>
      <c r="P90" s="131">
        <f>B4</f>
        <v>1123.826</v>
      </c>
      <c r="Q90" s="115">
        <v>-0.04</v>
      </c>
      <c r="R90" s="60"/>
      <c r="S90" s="113">
        <f t="shared" si="20"/>
        <v>-2.377777777777778E-2</v>
      </c>
      <c r="T90" s="113">
        <f t="shared" si="21"/>
        <v>-2.377777777777778E-2</v>
      </c>
      <c r="U90" s="113">
        <f t="shared" si="22"/>
        <v>-2.377777777777778E-2</v>
      </c>
      <c r="V90" s="112">
        <v>-0.04</v>
      </c>
      <c r="W90" s="72" t="s">
        <v>44</v>
      </c>
      <c r="X90" s="46"/>
      <c r="Y90" s="46"/>
    </row>
    <row r="91" spans="1:25" x14ac:dyDescent="0.3">
      <c r="I91" s="67"/>
      <c r="J91" s="112">
        <v>-0.04</v>
      </c>
      <c r="K91" s="113">
        <f t="shared" si="17"/>
        <v>2.364733333333334E-2</v>
      </c>
      <c r="L91" s="113">
        <f t="shared" si="18"/>
        <v>2.364733333333334E-2</v>
      </c>
      <c r="M91" s="113">
        <f t="shared" si="19"/>
        <v>2.364733333333334E-2</v>
      </c>
      <c r="N91" s="51"/>
      <c r="O91" s="115">
        <v>-0.04</v>
      </c>
      <c r="P91" s="127">
        <v>1125</v>
      </c>
      <c r="Q91" s="115">
        <v>-0.04</v>
      </c>
      <c r="R91" s="51"/>
      <c r="S91" s="113">
        <f t="shared" si="20"/>
        <v>-2.364733333333334E-2</v>
      </c>
      <c r="T91" s="113">
        <f t="shared" si="21"/>
        <v>-2.364733333333334E-2</v>
      </c>
      <c r="U91" s="113">
        <f t="shared" si="22"/>
        <v>-2.364733333333334E-2</v>
      </c>
      <c r="V91" s="112">
        <v>-0.04</v>
      </c>
      <c r="W91" s="68"/>
      <c r="X91" s="8"/>
      <c r="Y91" s="8"/>
    </row>
    <row r="92" spans="1:25" x14ac:dyDescent="0.3">
      <c r="I92" s="67"/>
      <c r="J92" s="112">
        <v>-0.04</v>
      </c>
      <c r="K92" s="113">
        <f t="shared" si="17"/>
        <v>2.0869555555555558E-2</v>
      </c>
      <c r="L92" s="113">
        <f t="shared" si="18"/>
        <v>2.0869555555555558E-2</v>
      </c>
      <c r="M92" s="113">
        <f t="shared" si="19"/>
        <v>2.0869555555555558E-2</v>
      </c>
      <c r="N92" s="51"/>
      <c r="O92" s="115">
        <v>-0.04</v>
      </c>
      <c r="P92" s="127">
        <v>1150</v>
      </c>
      <c r="Q92" s="115">
        <v>-0.04</v>
      </c>
      <c r="R92" s="51"/>
      <c r="S92" s="113">
        <f t="shared" si="20"/>
        <v>-2.0869555555555558E-2</v>
      </c>
      <c r="T92" s="113">
        <f t="shared" si="21"/>
        <v>-2.0869555555555558E-2</v>
      </c>
      <c r="U92" s="113">
        <f t="shared" si="22"/>
        <v>-2.0869555555555558E-2</v>
      </c>
      <c r="V92" s="112">
        <v>-0.04</v>
      </c>
      <c r="W92" s="68"/>
      <c r="X92" s="8"/>
      <c r="Y92" s="8"/>
    </row>
    <row r="93" spans="1:25" x14ac:dyDescent="0.3">
      <c r="I93" s="67"/>
      <c r="J93" s="112">
        <v>-0.04</v>
      </c>
      <c r="K93" s="113">
        <f t="shared" si="17"/>
        <v>1.8091777777777783E-2</v>
      </c>
      <c r="L93" s="113">
        <f t="shared" si="18"/>
        <v>1.8091777777777783E-2</v>
      </c>
      <c r="M93" s="113">
        <f t="shared" si="19"/>
        <v>1.8091777777777783E-2</v>
      </c>
      <c r="N93" s="51"/>
      <c r="O93" s="115">
        <v>-0.04</v>
      </c>
      <c r="P93" s="127">
        <v>1175</v>
      </c>
      <c r="Q93" s="115">
        <v>-0.04</v>
      </c>
      <c r="R93" s="51"/>
      <c r="S93" s="113">
        <f t="shared" si="20"/>
        <v>-1.8091777777777783E-2</v>
      </c>
      <c r="T93" s="113">
        <f t="shared" si="21"/>
        <v>-1.8091777777777783E-2</v>
      </c>
      <c r="U93" s="113">
        <f t="shared" si="22"/>
        <v>-1.8091777777777783E-2</v>
      </c>
      <c r="V93" s="112">
        <v>-0.04</v>
      </c>
      <c r="W93" s="68"/>
      <c r="X93" s="8"/>
      <c r="Y93" s="8"/>
    </row>
    <row r="94" spans="1:25" x14ac:dyDescent="0.3">
      <c r="I94" s="67"/>
      <c r="J94" s="112">
        <v>-0.04</v>
      </c>
      <c r="K94" s="113">
        <f t="shared" si="17"/>
        <v>1.6E-2</v>
      </c>
      <c r="L94" s="113">
        <f t="shared" si="18"/>
        <v>1.6E-2</v>
      </c>
      <c r="M94" s="113">
        <f t="shared" si="19"/>
        <v>1.6E-2</v>
      </c>
      <c r="N94" s="51"/>
      <c r="O94" s="115">
        <v>-0.04</v>
      </c>
      <c r="P94" s="132">
        <f>P85+B18</f>
        <v>1193.826</v>
      </c>
      <c r="Q94" s="115">
        <v>-0.04</v>
      </c>
      <c r="R94" s="51"/>
      <c r="S94" s="113">
        <f t="shared" si="20"/>
        <v>-1.6E-2</v>
      </c>
      <c r="T94" s="113">
        <f t="shared" si="21"/>
        <v>-1.6E-2</v>
      </c>
      <c r="U94" s="113">
        <f t="shared" si="22"/>
        <v>-1.6E-2</v>
      </c>
      <c r="V94" s="112">
        <v>-0.04</v>
      </c>
      <c r="W94" s="68"/>
      <c r="X94" s="8"/>
      <c r="Y94" s="8"/>
    </row>
    <row r="95" spans="1:25" x14ac:dyDescent="0.3">
      <c r="I95" s="67"/>
      <c r="J95" s="112">
        <v>-0.04</v>
      </c>
      <c r="K95" s="113">
        <f t="shared" ref="K95:K105" si="23">$K$94-((P95-$P$94)/(($B$13+$B$12)*($B$7)))</f>
        <v>1.4971000000000003E-2</v>
      </c>
      <c r="L95" s="113">
        <f t="shared" ref="L95:L105" si="24">$L$94-((P95-$P$94)/(($B$13+$B$12)*($B$7)))</f>
        <v>1.4971000000000003E-2</v>
      </c>
      <c r="M95" s="112">
        <v>1.6E-2</v>
      </c>
      <c r="N95" s="51"/>
      <c r="O95" s="115">
        <v>-0.04</v>
      </c>
      <c r="P95" s="127">
        <v>1200</v>
      </c>
      <c r="Q95" s="115">
        <v>-0.04</v>
      </c>
      <c r="R95" s="109"/>
      <c r="S95" s="113">
        <f>$S$94+((P95-$P$94)/(($B$11)*($B$7)))</f>
        <v>-1.3942000000000008E-2</v>
      </c>
      <c r="T95" s="115">
        <v>-1.6E-2</v>
      </c>
      <c r="U95" s="115">
        <v>-1.6E-2</v>
      </c>
      <c r="V95" s="112">
        <v>-0.04</v>
      </c>
      <c r="W95" s="68"/>
      <c r="X95" s="8"/>
      <c r="Y95" s="8"/>
    </row>
    <row r="96" spans="1:25" x14ac:dyDescent="0.3">
      <c r="I96" s="67"/>
      <c r="J96" s="112">
        <v>-0.04</v>
      </c>
      <c r="K96" s="113">
        <f t="shared" si="23"/>
        <v>1.0804333333333338E-2</v>
      </c>
      <c r="L96" s="113">
        <f t="shared" si="24"/>
        <v>1.0804333333333338E-2</v>
      </c>
      <c r="M96" s="112">
        <v>1.6E-2</v>
      </c>
      <c r="N96" s="51"/>
      <c r="O96" s="115">
        <v>-0.04</v>
      </c>
      <c r="P96" s="127">
        <v>1225</v>
      </c>
      <c r="Q96" s="115">
        <v>-0.04</v>
      </c>
      <c r="R96" s="109"/>
      <c r="S96" s="113">
        <f>$S$94+((P96-$P$94)/(($B$11)*($B$7)))</f>
        <v>-5.608666666666675E-3</v>
      </c>
      <c r="T96" s="115">
        <v>-1.6E-2</v>
      </c>
      <c r="U96" s="115">
        <v>-1.6E-2</v>
      </c>
      <c r="V96" s="112">
        <v>-0.04</v>
      </c>
      <c r="W96" s="68"/>
      <c r="X96" s="8"/>
      <c r="Y96" s="8"/>
    </row>
    <row r="97" spans="9:25" x14ac:dyDescent="0.3">
      <c r="I97" s="67"/>
      <c r="J97" s="112">
        <v>-0.04</v>
      </c>
      <c r="K97" s="113">
        <f t="shared" si="23"/>
        <v>6.9710000000000032E-3</v>
      </c>
      <c r="L97" s="113">
        <f t="shared" si="24"/>
        <v>6.9710000000000032E-3</v>
      </c>
      <c r="M97" s="112">
        <v>1.6E-2</v>
      </c>
      <c r="N97" s="51"/>
      <c r="O97" s="115">
        <v>-0.04</v>
      </c>
      <c r="P97" s="132">
        <f>P95+B32</f>
        <v>1248</v>
      </c>
      <c r="Q97" s="115">
        <v>-0.04</v>
      </c>
      <c r="R97" s="109"/>
      <c r="S97" s="113">
        <f>$S$94+((P97-$P$94)/(($B$11)*($B$7)))</f>
        <v>2.0579999999999939E-3</v>
      </c>
      <c r="T97" s="115">
        <v>-1.6E-2</v>
      </c>
      <c r="U97" s="115">
        <v>-1.6E-2</v>
      </c>
      <c r="V97" s="112">
        <v>-0.04</v>
      </c>
      <c r="W97" s="68"/>
      <c r="X97" s="8"/>
      <c r="Y97" s="8"/>
    </row>
    <row r="98" spans="9:25" x14ac:dyDescent="0.3">
      <c r="I98" s="67"/>
      <c r="J98" s="112">
        <v>-0.04</v>
      </c>
      <c r="K98" s="113">
        <f t="shared" si="23"/>
        <v>6.6376666666666702E-3</v>
      </c>
      <c r="L98" s="113">
        <f t="shared" si="24"/>
        <v>6.6376666666666702E-3</v>
      </c>
      <c r="M98" s="112">
        <v>1.6E-2</v>
      </c>
      <c r="N98" s="51"/>
      <c r="O98" s="115">
        <v>-0.04</v>
      </c>
      <c r="P98" s="127">
        <v>1250</v>
      </c>
      <c r="Q98" s="115">
        <v>-0.04</v>
      </c>
      <c r="R98" s="109"/>
      <c r="S98" s="113">
        <f>$S$94+((P98-$P$94)/(($B$11)*($B$7)))</f>
        <v>2.72466666666666E-3</v>
      </c>
      <c r="T98" s="115">
        <v>-1.6E-2</v>
      </c>
      <c r="U98" s="115">
        <v>-1.6E-2</v>
      </c>
      <c r="V98" s="112">
        <v>-0.04</v>
      </c>
      <c r="W98" s="68"/>
      <c r="X98" s="8"/>
      <c r="Y98" s="8"/>
    </row>
    <row r="99" spans="9:25" x14ac:dyDescent="0.3">
      <c r="I99" s="67"/>
      <c r="J99" s="112">
        <v>-0.04</v>
      </c>
      <c r="K99" s="113">
        <f t="shared" si="23"/>
        <v>2.4710000000000044E-3</v>
      </c>
      <c r="L99" s="113">
        <f t="shared" si="24"/>
        <v>2.4710000000000044E-3</v>
      </c>
      <c r="M99" s="112">
        <v>1.6E-2</v>
      </c>
      <c r="N99" s="51"/>
      <c r="O99" s="115">
        <v>-0.04</v>
      </c>
      <c r="P99" s="127">
        <v>1275</v>
      </c>
      <c r="Q99" s="115">
        <v>-0.04</v>
      </c>
      <c r="R99" s="109"/>
      <c r="S99" s="113">
        <f>$S$94+((P99-$P$94)/(($B$11)*($B$7)))</f>
        <v>1.1057999999999991E-2</v>
      </c>
      <c r="T99" s="115">
        <v>-1.6E-2</v>
      </c>
      <c r="U99" s="115">
        <v>-1.6E-2</v>
      </c>
      <c r="V99" s="112">
        <v>-0.04</v>
      </c>
      <c r="W99" s="68"/>
      <c r="X99" s="8"/>
      <c r="Y99" s="8"/>
    </row>
    <row r="100" spans="9:25" x14ac:dyDescent="0.3">
      <c r="I100" s="70" t="s">
        <v>83</v>
      </c>
      <c r="J100" s="112">
        <v>-0.04</v>
      </c>
      <c r="K100" s="113">
        <f t="shared" si="23"/>
        <v>0</v>
      </c>
      <c r="L100" s="113">
        <f t="shared" si="24"/>
        <v>0</v>
      </c>
      <c r="M100" s="112">
        <v>1.6E-2</v>
      </c>
      <c r="N100" s="51"/>
      <c r="O100" s="115">
        <v>-0.04</v>
      </c>
      <c r="P100" s="132">
        <f>P90+B20</f>
        <v>1289.826</v>
      </c>
      <c r="Q100" s="115">
        <v>-0.04</v>
      </c>
      <c r="R100" s="109"/>
      <c r="S100" s="115">
        <v>1.6E-2</v>
      </c>
      <c r="T100" s="115">
        <v>-1.6E-2</v>
      </c>
      <c r="U100" s="115">
        <v>-1.6E-2</v>
      </c>
      <c r="V100" s="112">
        <v>-0.04</v>
      </c>
      <c r="W100" s="68"/>
      <c r="X100" s="8"/>
      <c r="Y100" s="8"/>
    </row>
    <row r="101" spans="9:25" x14ac:dyDescent="0.3">
      <c r="I101" s="67"/>
      <c r="J101" s="112">
        <v>-0.04</v>
      </c>
      <c r="K101" s="113">
        <f t="shared" si="23"/>
        <v>-1.6956666666666613E-3</v>
      </c>
      <c r="L101" s="113">
        <f t="shared" si="24"/>
        <v>-1.6956666666666613E-3</v>
      </c>
      <c r="M101" s="112">
        <v>1.6E-2</v>
      </c>
      <c r="N101" s="51"/>
      <c r="O101" s="115">
        <v>-0.04</v>
      </c>
      <c r="P101" s="127">
        <v>1300</v>
      </c>
      <c r="Q101" s="115">
        <v>-0.04</v>
      </c>
      <c r="R101" s="109"/>
      <c r="S101" s="115">
        <v>1.6E-2</v>
      </c>
      <c r="T101" s="115">
        <v>-1.6E-2</v>
      </c>
      <c r="U101" s="115">
        <v>-1.6E-2</v>
      </c>
      <c r="V101" s="112">
        <v>-0.04</v>
      </c>
      <c r="W101" s="68"/>
      <c r="X101" s="8"/>
      <c r="Y101" s="8"/>
    </row>
    <row r="102" spans="9:25" x14ac:dyDescent="0.3">
      <c r="I102" s="67"/>
      <c r="J102" s="112">
        <v>-0.04</v>
      </c>
      <c r="K102" s="113">
        <f t="shared" si="23"/>
        <v>-5.8623333333333305E-3</v>
      </c>
      <c r="L102" s="113">
        <f t="shared" si="24"/>
        <v>-5.8623333333333305E-3</v>
      </c>
      <c r="M102" s="112">
        <v>1.6E-2</v>
      </c>
      <c r="N102" s="51"/>
      <c r="O102" s="115">
        <v>-0.04</v>
      </c>
      <c r="P102" s="127">
        <v>1325</v>
      </c>
      <c r="Q102" s="115">
        <v>-0.04</v>
      </c>
      <c r="R102" s="109"/>
      <c r="S102" s="115">
        <v>1.6E-2</v>
      </c>
      <c r="T102" s="115">
        <v>-1.6E-2</v>
      </c>
      <c r="U102" s="115">
        <v>-1.6E-2</v>
      </c>
      <c r="V102" s="112">
        <v>-0.04</v>
      </c>
      <c r="W102" s="68"/>
      <c r="X102" s="8"/>
      <c r="Y102" s="8"/>
    </row>
    <row r="103" spans="9:25" x14ac:dyDescent="0.3">
      <c r="I103" s="67"/>
      <c r="J103" s="112">
        <v>-0.04</v>
      </c>
      <c r="K103" s="113">
        <f t="shared" si="23"/>
        <v>-1.0028999999999996E-2</v>
      </c>
      <c r="L103" s="113">
        <f t="shared" si="24"/>
        <v>-1.0028999999999996E-2</v>
      </c>
      <c r="M103" s="112">
        <v>1.6E-2</v>
      </c>
      <c r="N103" s="51"/>
      <c r="O103" s="115">
        <v>-0.04</v>
      </c>
      <c r="P103" s="127">
        <v>1350</v>
      </c>
      <c r="Q103" s="115">
        <v>-0.04</v>
      </c>
      <c r="R103" s="109"/>
      <c r="S103" s="115">
        <v>1.6E-2</v>
      </c>
      <c r="T103" s="115">
        <v>-1.6E-2</v>
      </c>
      <c r="U103" s="115">
        <v>-1.6E-2</v>
      </c>
      <c r="V103" s="112">
        <v>-0.04</v>
      </c>
      <c r="W103" s="68"/>
      <c r="X103" s="8"/>
      <c r="Y103" s="8"/>
    </row>
    <row r="104" spans="9:25" x14ac:dyDescent="0.3">
      <c r="I104" s="67"/>
      <c r="J104" s="112">
        <v>-0.04</v>
      </c>
      <c r="K104" s="113">
        <f t="shared" si="23"/>
        <v>-1.4195666666666662E-2</v>
      </c>
      <c r="L104" s="113">
        <f t="shared" si="24"/>
        <v>-1.4195666666666662E-2</v>
      </c>
      <c r="M104" s="112">
        <v>1.6E-2</v>
      </c>
      <c r="N104" s="51"/>
      <c r="O104" s="115">
        <v>-0.04</v>
      </c>
      <c r="P104" s="127">
        <v>1375</v>
      </c>
      <c r="Q104" s="115">
        <v>-0.04</v>
      </c>
      <c r="R104" s="109"/>
      <c r="S104" s="115">
        <v>1.6E-2</v>
      </c>
      <c r="T104" s="115">
        <v>-1.6E-2</v>
      </c>
      <c r="U104" s="115">
        <v>-1.6E-2</v>
      </c>
      <c r="V104" s="112">
        <v>-0.04</v>
      </c>
      <c r="W104" s="68"/>
      <c r="X104" s="8"/>
      <c r="Y104" s="8"/>
    </row>
    <row r="105" spans="9:25" ht="15" thickBot="1" x14ac:dyDescent="0.35">
      <c r="I105" s="73" t="s">
        <v>84</v>
      </c>
      <c r="J105" s="117">
        <v>-0.04</v>
      </c>
      <c r="K105" s="113">
        <f t="shared" si="23"/>
        <v>-1.6E-2</v>
      </c>
      <c r="L105" s="113">
        <f t="shared" si="24"/>
        <v>-1.6E-2</v>
      </c>
      <c r="M105" s="117">
        <v>1.6E-2</v>
      </c>
      <c r="N105" s="76"/>
      <c r="O105" s="116">
        <v>-0.04</v>
      </c>
      <c r="P105" s="133">
        <f>P100+B15</f>
        <v>1385.826</v>
      </c>
      <c r="Q105" s="116">
        <v>-0.04</v>
      </c>
      <c r="R105" s="110"/>
      <c r="S105" s="116">
        <v>1.6E-2</v>
      </c>
      <c r="T105" s="116">
        <v>-1.6E-2</v>
      </c>
      <c r="U105" s="116">
        <v>-1.6E-2</v>
      </c>
      <c r="V105" s="117">
        <v>-0.04</v>
      </c>
      <c r="W105" s="80"/>
      <c r="X105" s="8"/>
      <c r="Y105" s="8"/>
    </row>
    <row r="106" spans="9:25" x14ac:dyDescent="0.3">
      <c r="I106" s="8"/>
      <c r="J106" s="1"/>
      <c r="K106" s="1"/>
      <c r="L106" s="1"/>
      <c r="M106" s="1"/>
      <c r="N106" s="1"/>
      <c r="O106" s="1"/>
      <c r="P106" s="42"/>
      <c r="Q106" s="1"/>
      <c r="R106" s="1"/>
      <c r="W106" s="35"/>
      <c r="X106" s="8"/>
      <c r="Y106" s="8"/>
    </row>
    <row r="107" spans="9:25" x14ac:dyDescent="0.3">
      <c r="I107" s="8"/>
      <c r="J107" s="1"/>
      <c r="K107" s="1"/>
      <c r="L107" s="1"/>
      <c r="M107" s="1"/>
      <c r="N107" s="1"/>
      <c r="O107" s="1"/>
      <c r="P107" s="42"/>
      <c r="Q107" s="1"/>
      <c r="R107" s="1"/>
      <c r="W107" s="35"/>
      <c r="X107" s="8"/>
      <c r="Y107" s="8"/>
    </row>
    <row r="108" spans="9:25" x14ac:dyDescent="0.3">
      <c r="I108" s="8"/>
      <c r="J108" s="1"/>
      <c r="K108" s="1"/>
      <c r="L108" s="1"/>
      <c r="M108" s="1"/>
      <c r="N108" s="1"/>
      <c r="O108" s="1"/>
      <c r="P108" s="42"/>
      <c r="Q108" s="1"/>
      <c r="R108" s="1"/>
      <c r="W108" s="35"/>
      <c r="X108" s="8"/>
      <c r="Y108" s="8"/>
    </row>
    <row r="109" spans="9:25" x14ac:dyDescent="0.3">
      <c r="I109" s="8"/>
      <c r="J109" s="1"/>
      <c r="K109" s="1"/>
      <c r="L109" s="1"/>
      <c r="M109" s="1"/>
      <c r="N109" s="1"/>
      <c r="O109" s="1"/>
      <c r="P109" s="42"/>
      <c r="W109" s="35"/>
      <c r="X109" s="8"/>
      <c r="Y109" s="8"/>
    </row>
    <row r="110" spans="9:25" x14ac:dyDescent="0.3">
      <c r="I110" s="8"/>
      <c r="J110" s="1"/>
      <c r="K110" s="1"/>
      <c r="L110" s="1"/>
      <c r="M110" s="1"/>
      <c r="N110" s="1"/>
      <c r="O110" s="1"/>
      <c r="P110" s="42"/>
      <c r="W110" s="35"/>
      <c r="X110" s="8"/>
      <c r="Y110" s="8"/>
    </row>
    <row r="111" spans="9:25" x14ac:dyDescent="0.3">
      <c r="I111" s="8"/>
      <c r="J111" s="1"/>
      <c r="K111" s="1"/>
      <c r="L111" s="1"/>
      <c r="M111" s="1"/>
      <c r="N111" s="1"/>
      <c r="O111" s="1"/>
      <c r="P111" s="42"/>
      <c r="W111" s="35"/>
      <c r="X111" s="8"/>
      <c r="Y111" s="8"/>
    </row>
    <row r="112" spans="9:25" x14ac:dyDescent="0.3">
      <c r="I112" s="8"/>
      <c r="J112" s="1"/>
      <c r="K112" s="1"/>
      <c r="L112" s="1"/>
      <c r="M112" s="1"/>
      <c r="N112" s="1"/>
      <c r="O112" s="1"/>
      <c r="P112" s="42"/>
      <c r="W112" s="35"/>
      <c r="X112" s="8"/>
      <c r="Y112" s="8"/>
    </row>
    <row r="113" spans="9:25" x14ac:dyDescent="0.3">
      <c r="I113" s="8"/>
      <c r="J113" s="1"/>
      <c r="K113" s="1"/>
      <c r="L113" s="1"/>
      <c r="M113" s="1"/>
      <c r="N113" s="1"/>
      <c r="O113" s="1"/>
      <c r="P113" s="42"/>
      <c r="W113" s="35"/>
      <c r="X113" s="8"/>
      <c r="Y113" s="8"/>
    </row>
  </sheetData>
  <mergeCells count="10">
    <mergeCell ref="J53:O53"/>
    <mergeCell ref="Q53:V53"/>
    <mergeCell ref="J79:V81"/>
    <mergeCell ref="A1:C1"/>
    <mergeCell ref="A14:C14"/>
    <mergeCell ref="D14:F14"/>
    <mergeCell ref="D15:F22"/>
    <mergeCell ref="A31:C31"/>
    <mergeCell ref="D31:F31"/>
    <mergeCell ref="D32:F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Curve Data</vt:lpstr>
      <vt:lpstr>Future_Deficient SHLD WIDTH</vt:lpstr>
      <vt:lpstr>Curve#2_PI 1243+94.772</vt:lpstr>
      <vt:lpstr>Curve#3_PI 1306+15.35</vt:lpstr>
      <vt:lpstr>Curve#4_PI 1340+75.22</vt:lpstr>
      <vt:lpstr>Curve#5_PI 1456+04.84</vt:lpstr>
      <vt:lpstr>Curve#6_PI 1485+56.44</vt:lpstr>
      <vt:lpstr>Curve#7_PI 1553+48.65</vt:lpstr>
      <vt:lpstr>Curve#8_PI 1645+31.14</vt:lpstr>
      <vt:lpstr>Curve#9_PI 26+60.19</vt:lpstr>
      <vt:lpstr>Curve#10_PI 50+14.02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 Nunna</dc:creator>
  <cp:lastModifiedBy>Ram Nunna</cp:lastModifiedBy>
  <dcterms:created xsi:type="dcterms:W3CDTF">2025-02-25T21:46:40Z</dcterms:created>
  <dcterms:modified xsi:type="dcterms:W3CDTF">2025-11-12T20:40:04Z</dcterms:modified>
</cp:coreProperties>
</file>