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oward4\d0194738\"/>
    </mc:Choice>
  </mc:AlternateContent>
  <xr:revisionPtr revIDLastSave="0" documentId="13_ncr:1_{79ED667B-CA82-4696-9F2E-88104A59FD9A}" xr6:coauthVersionLast="47" xr6:coauthVersionMax="47" xr10:uidLastSave="{00000000-0000-0000-0000-000000000000}"/>
  <bookViews>
    <workbookView xWindow="32370" yWindow="990" windowWidth="21600" windowHeight="11295" firstSheet="2" activeTab="2" xr2:uid="{93F2C24F-8A1B-418C-B07F-E2958E381A47}"/>
  </bookViews>
  <sheets>
    <sheet name="HAM-126-1406 Auto Table" sheetId="12" r:id="rId1"/>
    <sheet name="HAM-126-1406 Qty" sheetId="1" r:id="rId2"/>
    <sheet name="HAM-126-1530 Auto Table" sheetId="14" r:id="rId3"/>
    <sheet name="HAM-126-1530 Qty" sheetId="8" r:id="rId4"/>
    <sheet name="HAM-126-1543 Auto Table" sheetId="15" r:id="rId5"/>
    <sheet name="HAM-126-1543 Qty" sheetId="9" r:id="rId6"/>
    <sheet name="HAM-126-1555 Auto Table" sheetId="16" r:id="rId7"/>
    <sheet name="HAM-126-1555 Qty" sheetId="10" r:id="rId8"/>
    <sheet name="HAM-126-1818 Auto Table" sheetId="13" r:id="rId9"/>
    <sheet name="HAM-126-1818 Qty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8" l="1"/>
  <c r="D133" i="8"/>
  <c r="D127" i="8"/>
  <c r="D121" i="8"/>
  <c r="D129" i="8"/>
  <c r="D130" i="8" s="1"/>
  <c r="D126" i="8"/>
  <c r="D97" i="8"/>
  <c r="D98" i="8" s="1"/>
  <c r="C19" i="10"/>
  <c r="C6" i="16"/>
  <c r="C12" i="9"/>
  <c r="C5" i="15"/>
  <c r="C6" i="14"/>
  <c r="D101" i="8"/>
  <c r="D104" i="8" s="1"/>
  <c r="D105" i="8" s="1"/>
  <c r="D107" i="8" s="1"/>
  <c r="C12" i="8"/>
  <c r="C5" i="14"/>
  <c r="C5" i="12" l="1"/>
  <c r="D288" i="10"/>
  <c r="D287" i="10"/>
  <c r="D289" i="10" s="1"/>
  <c r="C11" i="16"/>
  <c r="D291" i="9"/>
  <c r="D290" i="9"/>
  <c r="D292" i="9" s="1"/>
  <c r="C9" i="15"/>
  <c r="D333" i="8"/>
  <c r="D332" i="8"/>
  <c r="C6" i="12"/>
  <c r="D292" i="1"/>
  <c r="D291" i="1"/>
  <c r="D293" i="1" s="1"/>
  <c r="C10" i="14"/>
  <c r="C414" i="11"/>
  <c r="C387" i="11"/>
  <c r="C439" i="11"/>
  <c r="C28" i="13"/>
  <c r="I118" i="11"/>
  <c r="D101" i="11"/>
  <c r="D98" i="11"/>
  <c r="D99" i="11" s="1"/>
  <c r="D91" i="11"/>
  <c r="D92" i="11" s="1"/>
  <c r="D334" i="8" l="1"/>
  <c r="C8" i="13"/>
  <c r="C5" i="16"/>
  <c r="C12" i="16"/>
  <c r="C10" i="15"/>
  <c r="C4" i="15"/>
  <c r="C34" i="12"/>
  <c r="C33" i="12"/>
  <c r="C16" i="14"/>
  <c r="C11" i="14"/>
  <c r="C4" i="14"/>
  <c r="C4" i="12"/>
  <c r="C5" i="1"/>
  <c r="C7" i="12"/>
  <c r="C5" i="10"/>
  <c r="C4" i="16"/>
  <c r="B477" i="10" l="1"/>
  <c r="C463" i="10"/>
  <c r="C467" i="10" s="1"/>
  <c r="C457" i="10"/>
  <c r="C461" i="10" s="1"/>
  <c r="C449" i="10"/>
  <c r="C452" i="10" s="1"/>
  <c r="D182" i="9"/>
  <c r="D177" i="9"/>
  <c r="D149" i="9"/>
  <c r="D112" i="9"/>
  <c r="D109" i="9"/>
  <c r="D97" i="9"/>
  <c r="C474" i="9"/>
  <c r="C478" i="9" s="1"/>
  <c r="C468" i="9"/>
  <c r="C472" i="9" s="1"/>
  <c r="C460" i="9"/>
  <c r="C463" i="9" s="1"/>
  <c r="B497" i="9"/>
  <c r="C434" i="9"/>
  <c r="C437" i="9"/>
  <c r="C438" i="9" s="1"/>
  <c r="D181" i="10"/>
  <c r="D186" i="10"/>
  <c r="D158" i="10"/>
  <c r="D153" i="10"/>
  <c r="D116" i="10"/>
  <c r="D104" i="10"/>
  <c r="D227" i="8"/>
  <c r="D225" i="8"/>
  <c r="D221" i="8"/>
  <c r="D220" i="8"/>
  <c r="D195" i="8"/>
  <c r="D197" i="8"/>
  <c r="D191" i="8"/>
  <c r="D190" i="8"/>
  <c r="D186" i="8"/>
  <c r="D165" i="8"/>
  <c r="D169" i="8" s="1"/>
  <c r="D158" i="8"/>
  <c r="D163" i="8" s="1"/>
  <c r="D150" i="8"/>
  <c r="D145" i="8"/>
  <c r="D142" i="8"/>
  <c r="D139" i="8"/>
  <c r="D120" i="8"/>
  <c r="D123" i="8" s="1"/>
  <c r="D115" i="8"/>
  <c r="C494" i="8"/>
  <c r="C493" i="8"/>
  <c r="C497" i="8"/>
  <c r="C501" i="8" s="1"/>
  <c r="B514" i="8"/>
  <c r="C32" i="16"/>
  <c r="C30" i="15"/>
  <c r="C33" i="14"/>
  <c r="C31" i="14"/>
  <c r="C9" i="13"/>
  <c r="C7" i="16"/>
  <c r="C6" i="15"/>
  <c r="C7" i="14"/>
  <c r="C491" i="8"/>
  <c r="C483" i="8"/>
  <c r="C485" i="8"/>
  <c r="C29" i="16"/>
  <c r="C27" i="15"/>
  <c r="C30" i="14"/>
  <c r="D171" i="8" l="1"/>
  <c r="D172" i="8" s="1"/>
  <c r="C470" i="10"/>
  <c r="C481" i="9"/>
  <c r="C495" i="8"/>
  <c r="D124" i="8"/>
  <c r="C486" i="8"/>
  <c r="C504" i="8" s="1"/>
  <c r="D186" i="11" l="1"/>
  <c r="D117" i="11"/>
  <c r="D118" i="11" s="1"/>
  <c r="C5" i="13"/>
  <c r="C4" i="13"/>
  <c r="C29" i="13"/>
  <c r="C27" i="13"/>
  <c r="D54" i="11"/>
  <c r="C12" i="12"/>
  <c r="C9" i="14"/>
  <c r="C10" i="16"/>
  <c r="J297" i="10"/>
  <c r="C28" i="15"/>
  <c r="C7" i="15"/>
  <c r="J294" i="10"/>
  <c r="J298" i="9"/>
  <c r="J301" i="9"/>
  <c r="F309" i="9"/>
  <c r="F308" i="9"/>
  <c r="O308" i="9"/>
  <c r="D178" i="9"/>
  <c r="D151" i="9"/>
  <c r="D122" i="9"/>
  <c r="D106" i="9"/>
  <c r="D123" i="9"/>
  <c r="D119" i="10"/>
  <c r="D195" i="9"/>
  <c r="D268" i="9"/>
  <c r="D183" i="10"/>
  <c r="D129" i="10"/>
  <c r="D130" i="10"/>
  <c r="D131" i="10" s="1"/>
  <c r="D113" i="10"/>
  <c r="D132" i="10" l="1"/>
  <c r="D124" i="9"/>
  <c r="D118" i="9"/>
  <c r="D128" i="9" s="1"/>
  <c r="D125" i="9"/>
  <c r="D125" i="10"/>
  <c r="D135" i="10" s="1"/>
  <c r="D129" i="9" l="1"/>
  <c r="C8" i="16"/>
  <c r="C30" i="16"/>
  <c r="C399" i="10"/>
  <c r="D272" i="10"/>
  <c r="O304" i="10"/>
  <c r="J319" i="10"/>
  <c r="C29" i="14"/>
  <c r="C29" i="12"/>
  <c r="D187" i="1" l="1"/>
  <c r="D184" i="1"/>
  <c r="D178" i="1"/>
  <c r="D175" i="1"/>
  <c r="D150" i="1"/>
  <c r="D141" i="1"/>
  <c r="D147" i="1"/>
  <c r="D94" i="1"/>
  <c r="D200" i="1"/>
  <c r="D201" i="1"/>
  <c r="D475" i="8"/>
  <c r="J340" i="8"/>
  <c r="J343" i="8"/>
  <c r="C31" i="16"/>
  <c r="C28" i="16"/>
  <c r="C27" i="16"/>
  <c r="C26" i="16"/>
  <c r="C25" i="16"/>
  <c r="C23" i="16"/>
  <c r="C22" i="16"/>
  <c r="C21" i="16"/>
  <c r="C20" i="16"/>
  <c r="C19" i="16"/>
  <c r="C18" i="16"/>
  <c r="C15" i="16"/>
  <c r="C14" i="16"/>
  <c r="C13" i="16"/>
  <c r="C9" i="16"/>
  <c r="C3" i="16"/>
  <c r="C29" i="15"/>
  <c r="C26" i="15"/>
  <c r="C25" i="15"/>
  <c r="C24" i="15"/>
  <c r="C23" i="15"/>
  <c r="C21" i="15"/>
  <c r="C20" i="15"/>
  <c r="C19" i="15"/>
  <c r="C18" i="15"/>
  <c r="C17" i="15"/>
  <c r="C16" i="15"/>
  <c r="C13" i="15"/>
  <c r="C12" i="15"/>
  <c r="C11" i="15"/>
  <c r="C8" i="15"/>
  <c r="C3" i="15"/>
  <c r="C32" i="14"/>
  <c r="C28" i="14"/>
  <c r="C27" i="14"/>
  <c r="C26" i="14"/>
  <c r="C25" i="14"/>
  <c r="C23" i="14"/>
  <c r="C22" i="14"/>
  <c r="C21" i="14"/>
  <c r="C20" i="14"/>
  <c r="C19" i="14"/>
  <c r="C18" i="14"/>
  <c r="C14" i="14"/>
  <c r="C13" i="14"/>
  <c r="C12" i="14"/>
  <c r="C8" i="14"/>
  <c r="C3" i="14"/>
  <c r="C30" i="13"/>
  <c r="C26" i="13"/>
  <c r="C25" i="13"/>
  <c r="C24" i="13"/>
  <c r="C23" i="13"/>
  <c r="C21" i="13"/>
  <c r="C20" i="13"/>
  <c r="C19" i="13"/>
  <c r="C18" i="13"/>
  <c r="C17" i="13"/>
  <c r="C16" i="13"/>
  <c r="C14" i="13"/>
  <c r="C13" i="13"/>
  <c r="C12" i="13"/>
  <c r="C10" i="13"/>
  <c r="C7" i="13"/>
  <c r="C3" i="13"/>
  <c r="BK306" i="11"/>
  <c r="BJ315" i="11" s="1"/>
  <c r="J299" i="11"/>
  <c r="AZ306" i="11"/>
  <c r="AO306" i="11"/>
  <c r="O309" i="11"/>
  <c r="J302" i="11"/>
  <c r="C28" i="12"/>
  <c r="C26" i="12"/>
  <c r="C27" i="12"/>
  <c r="C24" i="12"/>
  <c r="C23" i="12"/>
  <c r="C22" i="12"/>
  <c r="C21" i="12"/>
  <c r="C20" i="12"/>
  <c r="C19" i="12"/>
  <c r="C16" i="12"/>
  <c r="C15" i="12"/>
  <c r="C14" i="12"/>
  <c r="C11" i="12"/>
  <c r="C10" i="12"/>
  <c r="C8" i="12"/>
  <c r="C3" i="12"/>
  <c r="D447" i="1" l="1"/>
  <c r="D445" i="1"/>
  <c r="D448" i="1" s="1"/>
  <c r="AN316" i="1"/>
  <c r="AR307" i="1"/>
  <c r="O310" i="1"/>
  <c r="I432" i="1" l="1"/>
  <c r="C432" i="1"/>
  <c r="D435" i="1" s="1"/>
  <c r="D437" i="1" s="1"/>
  <c r="K301" i="10" l="1"/>
  <c r="F299" i="10" s="1"/>
  <c r="H299" i="10" s="1"/>
  <c r="C427" i="11"/>
  <c r="C428" i="11" s="1"/>
  <c r="C412" i="11"/>
  <c r="C375" i="11"/>
  <c r="D361" i="11"/>
  <c r="J346" i="11"/>
  <c r="AG336" i="11"/>
  <c r="S332" i="11"/>
  <c r="S333" i="11" s="1"/>
  <c r="J332" i="11"/>
  <c r="J333" i="11" s="1"/>
  <c r="P331" i="11"/>
  <c r="P328" i="11"/>
  <c r="P332" i="11" s="1"/>
  <c r="P333" i="11" s="1"/>
  <c r="AF328" i="11"/>
  <c r="AE332" i="11" s="1"/>
  <c r="AE333" i="11" s="1"/>
  <c r="P321" i="11"/>
  <c r="M321" i="11"/>
  <c r="S316" i="11"/>
  <c r="S318" i="11" s="1"/>
  <c r="O316" i="11"/>
  <c r="O318" i="11" s="1"/>
  <c r="K316" i="11"/>
  <c r="K318" i="11" s="1"/>
  <c r="AY315" i="11"/>
  <c r="AZ315" i="11" s="1"/>
  <c r="AN315" i="11"/>
  <c r="AO315" i="11" s="1"/>
  <c r="AG314" i="11"/>
  <c r="BQ313" i="11"/>
  <c r="BF313" i="11"/>
  <c r="AU313" i="11"/>
  <c r="S312" i="11"/>
  <c r="S314" i="11" s="1"/>
  <c r="O312" i="11"/>
  <c r="O314" i="11" s="1"/>
  <c r="BQ311" i="11"/>
  <c r="BF311" i="11"/>
  <c r="AU311" i="11"/>
  <c r="K311" i="11"/>
  <c r="K313" i="11" s="1"/>
  <c r="BK308" i="11"/>
  <c r="BJ312" i="11" s="1"/>
  <c r="BI312" i="11" s="1"/>
  <c r="BL318" i="11" s="1"/>
  <c r="P322" i="11" s="1"/>
  <c r="AZ308" i="11"/>
  <c r="AY312" i="11" s="1"/>
  <c r="AO308" i="11"/>
  <c r="AN312" i="11" s="1"/>
  <c r="BM306" i="11"/>
  <c r="BL306" i="11"/>
  <c r="BB306" i="11"/>
  <c r="BA306" i="11"/>
  <c r="AQ306" i="11"/>
  <c r="AP306" i="11"/>
  <c r="AF306" i="11"/>
  <c r="K306" i="11"/>
  <c r="F304" i="11" s="1"/>
  <c r="H304" i="11" s="1"/>
  <c r="G305" i="11"/>
  <c r="S300" i="11"/>
  <c r="W304" i="11" s="1"/>
  <c r="W305" i="11" s="1"/>
  <c r="O300" i="11"/>
  <c r="J300" i="11"/>
  <c r="D277" i="11"/>
  <c r="F277" i="11" s="1"/>
  <c r="D273" i="11"/>
  <c r="F273" i="11" s="1"/>
  <c r="D257" i="11"/>
  <c r="D254" i="11"/>
  <c r="D250" i="11"/>
  <c r="D249" i="11"/>
  <c r="D248" i="11"/>
  <c r="D247" i="11"/>
  <c r="D246" i="11"/>
  <c r="D229" i="11"/>
  <c r="D226" i="11"/>
  <c r="D222" i="11"/>
  <c r="D221" i="11"/>
  <c r="D220" i="11"/>
  <c r="D219" i="11"/>
  <c r="D218" i="11"/>
  <c r="D205" i="11"/>
  <c r="D206" i="11" s="1"/>
  <c r="F203" i="11"/>
  <c r="D182" i="11"/>
  <c r="D181" i="11"/>
  <c r="D180" i="11"/>
  <c r="D179" i="11"/>
  <c r="D178" i="11"/>
  <c r="D158" i="11"/>
  <c r="D154" i="11"/>
  <c r="D153" i="11"/>
  <c r="D152" i="11"/>
  <c r="D151" i="11"/>
  <c r="D150" i="11"/>
  <c r="D133" i="11"/>
  <c r="D134" i="11" s="1"/>
  <c r="D135" i="11" s="1"/>
  <c r="D129" i="11"/>
  <c r="D126" i="11"/>
  <c r="D123" i="11"/>
  <c r="D110" i="11"/>
  <c r="D111" i="11" s="1"/>
  <c r="D78" i="11"/>
  <c r="D79" i="11" s="1"/>
  <c r="D69" i="11"/>
  <c r="D70" i="11" s="1"/>
  <c r="D60" i="11"/>
  <c r="D46" i="11"/>
  <c r="D47" i="11" s="1"/>
  <c r="D30" i="11"/>
  <c r="D31" i="11" s="1"/>
  <c r="D15" i="11"/>
  <c r="D16" i="11" s="1"/>
  <c r="C6" i="11"/>
  <c r="C439" i="10"/>
  <c r="C440" i="10" s="1"/>
  <c r="C411" i="10"/>
  <c r="C393" i="10"/>
  <c r="C370" i="10"/>
  <c r="D356" i="10"/>
  <c r="J341" i="10"/>
  <c r="AG331" i="10"/>
  <c r="S327" i="10"/>
  <c r="S328" i="10" s="1"/>
  <c r="J327" i="10"/>
  <c r="J328" i="10" s="1"/>
  <c r="P323" i="10"/>
  <c r="P327" i="10" s="1"/>
  <c r="P328" i="10" s="1"/>
  <c r="AF322" i="10"/>
  <c r="AF323" i="10" s="1"/>
  <c r="AE327" i="10" s="1"/>
  <c r="AE328" i="10" s="1"/>
  <c r="S316" i="10"/>
  <c r="P316" i="10"/>
  <c r="M316" i="10"/>
  <c r="S311" i="10"/>
  <c r="S313" i="10" s="1"/>
  <c r="O311" i="10"/>
  <c r="K311" i="10"/>
  <c r="BJ310" i="10"/>
  <c r="BK310" i="10" s="1"/>
  <c r="AY310" i="10"/>
  <c r="AZ310" i="10" s="1"/>
  <c r="AN310" i="10"/>
  <c r="AO310" i="10" s="1"/>
  <c r="AG309" i="10"/>
  <c r="BQ308" i="10"/>
  <c r="BF308" i="10"/>
  <c r="AU308" i="10"/>
  <c r="S307" i="10"/>
  <c r="S309" i="10" s="1"/>
  <c r="O307" i="10"/>
  <c r="O309" i="10" s="1"/>
  <c r="BQ306" i="10"/>
  <c r="BF306" i="10"/>
  <c r="AU306" i="10"/>
  <c r="K306" i="10"/>
  <c r="K308" i="10" s="1"/>
  <c r="BK303" i="10"/>
  <c r="BJ307" i="10" s="1"/>
  <c r="AZ303" i="10"/>
  <c r="AY307" i="10" s="1"/>
  <c r="AO303" i="10"/>
  <c r="AN307" i="10" s="1"/>
  <c r="BM301" i="10"/>
  <c r="BL301" i="10"/>
  <c r="BB301" i="10"/>
  <c r="BA301" i="10"/>
  <c r="AQ301" i="10"/>
  <c r="AP301" i="10"/>
  <c r="AF301" i="10"/>
  <c r="AE305" i="10" s="1"/>
  <c r="AE306" i="10" s="1"/>
  <c r="G300" i="10"/>
  <c r="S295" i="10"/>
  <c r="Z299" i="10" s="1"/>
  <c r="Z300" i="10" s="1"/>
  <c r="O295" i="10"/>
  <c r="J295" i="10"/>
  <c r="D274" i="10"/>
  <c r="F274" i="10" s="1"/>
  <c r="D270" i="10"/>
  <c r="F270" i="10" s="1"/>
  <c r="D254" i="10"/>
  <c r="D251" i="10"/>
  <c r="D247" i="10"/>
  <c r="D246" i="10"/>
  <c r="D245" i="10"/>
  <c r="D244" i="10"/>
  <c r="D243" i="10"/>
  <c r="D258" i="10" s="1"/>
  <c r="D259" i="10" s="1"/>
  <c r="D223" i="10"/>
  <c r="D219" i="10"/>
  <c r="D218" i="10"/>
  <c r="D217" i="10"/>
  <c r="D216" i="10"/>
  <c r="D215" i="10"/>
  <c r="D202" i="10"/>
  <c r="D203" i="10" s="1"/>
  <c r="F200" i="10"/>
  <c r="D179" i="10"/>
  <c r="D178" i="10"/>
  <c r="D177" i="10"/>
  <c r="D176" i="10"/>
  <c r="D175" i="10"/>
  <c r="D155" i="10"/>
  <c r="D151" i="10"/>
  <c r="D150" i="10"/>
  <c r="D149" i="10"/>
  <c r="D148" i="10"/>
  <c r="D147" i="10"/>
  <c r="D106" i="10"/>
  <c r="D107" i="10" s="1"/>
  <c r="D92" i="10"/>
  <c r="D93" i="10" s="1"/>
  <c r="D83" i="10"/>
  <c r="D84" i="10" s="1"/>
  <c r="D68" i="10"/>
  <c r="D74" i="10" s="1"/>
  <c r="D60" i="10"/>
  <c r="D61" i="10" s="1"/>
  <c r="D44" i="10"/>
  <c r="D45" i="10" s="1"/>
  <c r="D29" i="10"/>
  <c r="D30" i="10" s="1"/>
  <c r="C12" i="10"/>
  <c r="C450" i="9"/>
  <c r="C451" i="9" s="1"/>
  <c r="C374" i="9"/>
  <c r="D360" i="9"/>
  <c r="J345" i="9"/>
  <c r="AG335" i="9"/>
  <c r="S331" i="9"/>
  <c r="S332" i="9" s="1"/>
  <c r="J331" i="9"/>
  <c r="J332" i="9" s="1"/>
  <c r="P327" i="9"/>
  <c r="P331" i="9" s="1"/>
  <c r="P332" i="9" s="1"/>
  <c r="AF327" i="9"/>
  <c r="AE331" i="9" s="1"/>
  <c r="AE332" i="9" s="1"/>
  <c r="P320" i="9"/>
  <c r="M320" i="9"/>
  <c r="S316" i="9"/>
  <c r="O316" i="9"/>
  <c r="K316" i="9"/>
  <c r="S315" i="9"/>
  <c r="O315" i="9"/>
  <c r="K315" i="9"/>
  <c r="BJ314" i="9"/>
  <c r="BK314" i="9" s="1"/>
  <c r="AY314" i="9"/>
  <c r="AZ314" i="9" s="1"/>
  <c r="AN314" i="9"/>
  <c r="AO314" i="9" s="1"/>
  <c r="AG313" i="9"/>
  <c r="BQ312" i="9"/>
  <c r="BF312" i="9"/>
  <c r="AU312" i="9"/>
  <c r="S311" i="9"/>
  <c r="S313" i="9" s="1"/>
  <c r="O311" i="9"/>
  <c r="O313" i="9" s="1"/>
  <c r="BQ310" i="9"/>
  <c r="BF310" i="9"/>
  <c r="AU310" i="9"/>
  <c r="K310" i="9"/>
  <c r="K312" i="9" s="1"/>
  <c r="BK307" i="9"/>
  <c r="BJ311" i="9" s="1"/>
  <c r="AZ307" i="9"/>
  <c r="AY311" i="9" s="1"/>
  <c r="AO307" i="9"/>
  <c r="AN311" i="9" s="1"/>
  <c r="BM305" i="9"/>
  <c r="BL305" i="9"/>
  <c r="BB305" i="9"/>
  <c r="BA305" i="9"/>
  <c r="AQ305" i="9"/>
  <c r="AP305" i="9"/>
  <c r="AF305" i="9"/>
  <c r="AE309" i="9" s="1"/>
  <c r="AE310" i="9" s="1"/>
  <c r="K305" i="9"/>
  <c r="F303" i="9" s="1"/>
  <c r="H303" i="9" s="1"/>
  <c r="G304" i="9"/>
  <c r="S299" i="9"/>
  <c r="Z303" i="9" s="1"/>
  <c r="Z304" i="9" s="1"/>
  <c r="O299" i="9"/>
  <c r="J299" i="9"/>
  <c r="J303" i="9" s="1"/>
  <c r="J304" i="9" s="1"/>
  <c r="D270" i="9"/>
  <c r="F270" i="9" s="1"/>
  <c r="D266" i="9"/>
  <c r="F266" i="9" s="1"/>
  <c r="D250" i="9"/>
  <c r="D247" i="9"/>
  <c r="D243" i="9"/>
  <c r="D242" i="9"/>
  <c r="D241" i="9"/>
  <c r="D240" i="9"/>
  <c r="D239" i="9"/>
  <c r="D222" i="9"/>
  <c r="D219" i="9"/>
  <c r="D215" i="9"/>
  <c r="D214" i="9"/>
  <c r="D213" i="9"/>
  <c r="D212" i="9"/>
  <c r="D211" i="9"/>
  <c r="D198" i="9"/>
  <c r="D199" i="9" s="1"/>
  <c r="F196" i="9"/>
  <c r="D179" i="9"/>
  <c r="D175" i="9"/>
  <c r="D174" i="9"/>
  <c r="D173" i="9"/>
  <c r="D172" i="9"/>
  <c r="D171" i="9"/>
  <c r="D186" i="9" s="1"/>
  <c r="D147" i="9"/>
  <c r="D146" i="9"/>
  <c r="D145" i="9"/>
  <c r="D144" i="9"/>
  <c r="D143" i="9"/>
  <c r="D99" i="9"/>
  <c r="D100" i="9" s="1"/>
  <c r="D85" i="9"/>
  <c r="D86" i="9" s="1"/>
  <c r="D76" i="9"/>
  <c r="D77" i="9" s="1"/>
  <c r="D61" i="9"/>
  <c r="D67" i="9" s="1"/>
  <c r="D88" i="9" s="1"/>
  <c r="D53" i="9"/>
  <c r="D54" i="9" s="1"/>
  <c r="D37" i="9"/>
  <c r="D38" i="9" s="1"/>
  <c r="D22" i="9"/>
  <c r="D23" i="9" s="1"/>
  <c r="C6" i="9"/>
  <c r="O350" i="8"/>
  <c r="K353" i="8"/>
  <c r="J370" i="8"/>
  <c r="J373" i="8" s="1"/>
  <c r="J374" i="8" s="1"/>
  <c r="O357" i="8"/>
  <c r="K357" i="8"/>
  <c r="K359" i="8" s="1"/>
  <c r="K352" i="8"/>
  <c r="K354" i="8" s="1"/>
  <c r="D476" i="8"/>
  <c r="C442" i="8"/>
  <c r="C462" i="8" s="1"/>
  <c r="C417" i="8"/>
  <c r="D402" i="8"/>
  <c r="J387" i="8"/>
  <c r="AG377" i="8"/>
  <c r="S373" i="8"/>
  <c r="S374" i="8" s="1"/>
  <c r="P372" i="8"/>
  <c r="P369" i="8"/>
  <c r="AF368" i="8"/>
  <c r="AF369" i="8" s="1"/>
  <c r="AE373" i="8" s="1"/>
  <c r="AE374" i="8" s="1"/>
  <c r="S362" i="8"/>
  <c r="S358" i="8"/>
  <c r="K358" i="8"/>
  <c r="S357" i="8"/>
  <c r="BJ356" i="8"/>
  <c r="BK356" i="8" s="1"/>
  <c r="AY356" i="8"/>
  <c r="AZ356" i="8" s="1"/>
  <c r="AN356" i="8"/>
  <c r="AO356" i="8" s="1"/>
  <c r="AG355" i="8"/>
  <c r="BQ354" i="8"/>
  <c r="BF354" i="8"/>
  <c r="AU354" i="8"/>
  <c r="S353" i="8"/>
  <c r="S355" i="8" s="1"/>
  <c r="O353" i="8"/>
  <c r="O355" i="8" s="1"/>
  <c r="BQ352" i="8"/>
  <c r="BF352" i="8"/>
  <c r="AU352" i="8"/>
  <c r="BK349" i="8"/>
  <c r="BJ353" i="8" s="1"/>
  <c r="AZ349" i="8"/>
  <c r="AY353" i="8" s="1"/>
  <c r="AO349" i="8"/>
  <c r="AN353" i="8" s="1"/>
  <c r="BM347" i="8"/>
  <c r="BL347" i="8"/>
  <c r="BB347" i="8"/>
  <c r="BA347" i="8"/>
  <c r="AQ347" i="8"/>
  <c r="AP347" i="8"/>
  <c r="AF347" i="8"/>
  <c r="AE351" i="8" s="1"/>
  <c r="AE352" i="8" s="1"/>
  <c r="K347" i="8"/>
  <c r="F345" i="8" s="1"/>
  <c r="H345" i="8" s="1"/>
  <c r="G346" i="8"/>
  <c r="S341" i="8"/>
  <c r="W345" i="8" s="1"/>
  <c r="W346" i="8" s="1"/>
  <c r="O341" i="8"/>
  <c r="J341" i="8"/>
  <c r="J345" i="8" s="1"/>
  <c r="J346" i="8" s="1"/>
  <c r="D315" i="8"/>
  <c r="F315" i="8" s="1"/>
  <c r="D311" i="8"/>
  <c r="F311" i="8" s="1"/>
  <c r="D295" i="8"/>
  <c r="D292" i="8"/>
  <c r="D288" i="8"/>
  <c r="D287" i="8"/>
  <c r="D286" i="8"/>
  <c r="D285" i="8"/>
  <c r="D284" i="8"/>
  <c r="D267" i="8"/>
  <c r="D264" i="8"/>
  <c r="D260" i="8"/>
  <c r="D259" i="8"/>
  <c r="D258" i="8"/>
  <c r="D257" i="8"/>
  <c r="D256" i="8"/>
  <c r="D243" i="8"/>
  <c r="D244" i="8" s="1"/>
  <c r="F241" i="8"/>
  <c r="D222" i="8"/>
  <c r="D218" i="8"/>
  <c r="D217" i="8"/>
  <c r="D216" i="8"/>
  <c r="D215" i="8"/>
  <c r="D214" i="8"/>
  <c r="D192" i="8"/>
  <c r="D188" i="8"/>
  <c r="D187" i="8"/>
  <c r="D185" i="8"/>
  <c r="D184" i="8"/>
  <c r="D151" i="8"/>
  <c r="D154" i="8" s="1"/>
  <c r="D117" i="8"/>
  <c r="D118" i="8" s="1"/>
  <c r="D84" i="8"/>
  <c r="D85" i="8" s="1"/>
  <c r="D75" i="8"/>
  <c r="D76" i="8" s="1"/>
  <c r="D60" i="8"/>
  <c r="D66" i="8" s="1"/>
  <c r="D52" i="8"/>
  <c r="D53" i="8" s="1"/>
  <c r="D36" i="8"/>
  <c r="D37" i="8" s="1"/>
  <c r="D21" i="8"/>
  <c r="D22" i="8" s="1"/>
  <c r="C6" i="8"/>
  <c r="K317" i="1"/>
  <c r="D231" i="8" l="1"/>
  <c r="S359" i="8"/>
  <c r="D201" i="8"/>
  <c r="D202" i="8" s="1"/>
  <c r="D193" i="11"/>
  <c r="D194" i="11" s="1"/>
  <c r="D49" i="11"/>
  <c r="D81" i="11"/>
  <c r="K317" i="9"/>
  <c r="O317" i="9"/>
  <c r="S317" i="9"/>
  <c r="D87" i="8"/>
  <c r="BO308" i="11"/>
  <c r="D138" i="11"/>
  <c r="D139" i="11" s="1"/>
  <c r="Z304" i="11"/>
  <c r="Z305" i="11" s="1"/>
  <c r="D233" i="11"/>
  <c r="D234" i="11" s="1"/>
  <c r="D261" i="11"/>
  <c r="D262" i="11" s="1"/>
  <c r="B279" i="11"/>
  <c r="AE310" i="11"/>
  <c r="AE311" i="11" s="1"/>
  <c r="D165" i="11"/>
  <c r="D166" i="11" s="1"/>
  <c r="D196" i="11" s="1"/>
  <c r="D254" i="9"/>
  <c r="D255" i="9" s="1"/>
  <c r="D226" i="9"/>
  <c r="D227" i="9" s="1"/>
  <c r="D257" i="9" s="1"/>
  <c r="D187" i="9"/>
  <c r="W303" i="9"/>
  <c r="W304" i="9" s="1"/>
  <c r="D158" i="9"/>
  <c r="D159" i="9" s="1"/>
  <c r="B272" i="9"/>
  <c r="D95" i="10"/>
  <c r="C426" i="10"/>
  <c r="C427" i="10" s="1"/>
  <c r="D190" i="10"/>
  <c r="D191" i="10" s="1"/>
  <c r="W299" i="10"/>
  <c r="W300" i="10" s="1"/>
  <c r="D136" i="10"/>
  <c r="D162" i="10"/>
  <c r="D163" i="10" s="1"/>
  <c r="K313" i="10"/>
  <c r="O313" i="10"/>
  <c r="D230" i="10"/>
  <c r="D231" i="10" s="1"/>
  <c r="D261" i="10" s="1"/>
  <c r="B276" i="10"/>
  <c r="D55" i="8"/>
  <c r="D155" i="8"/>
  <c r="P373" i="8"/>
  <c r="P374" i="8" s="1"/>
  <c r="D299" i="8"/>
  <c r="D300" i="8" s="1"/>
  <c r="D232" i="8"/>
  <c r="D271" i="8"/>
  <c r="D272" i="8" s="1"/>
  <c r="O359" i="8"/>
  <c r="Z345" i="8"/>
  <c r="Z346" i="8" s="1"/>
  <c r="B317" i="8"/>
  <c r="AH332" i="11"/>
  <c r="AG338" i="11" s="1"/>
  <c r="S322" i="11" s="1"/>
  <c r="BD308" i="11"/>
  <c r="AZ311" i="11" s="1"/>
  <c r="BB308" i="11"/>
  <c r="AX312" i="11" s="1"/>
  <c r="P304" i="11"/>
  <c r="P305" i="11" s="1"/>
  <c r="M304" i="11"/>
  <c r="M305" i="11" s="1"/>
  <c r="J304" i="11"/>
  <c r="J305" i="11" s="1"/>
  <c r="T304" i="11"/>
  <c r="T305" i="11" s="1"/>
  <c r="AQ308" i="11"/>
  <c r="AM312" i="11" s="1"/>
  <c r="AS308" i="11"/>
  <c r="AO311" i="11" s="1"/>
  <c r="BM308" i="11"/>
  <c r="P299" i="10"/>
  <c r="P300" i="10" s="1"/>
  <c r="M299" i="10"/>
  <c r="M300" i="10" s="1"/>
  <c r="J299" i="10"/>
  <c r="J300" i="10" s="1"/>
  <c r="T299" i="10"/>
  <c r="T300" i="10" s="1"/>
  <c r="AG304" i="10"/>
  <c r="AG311" i="10" s="1"/>
  <c r="BO303" i="10"/>
  <c r="BK306" i="10" s="1"/>
  <c r="BM303" i="10"/>
  <c r="BI307" i="10" s="1"/>
  <c r="AH327" i="10"/>
  <c r="AG333" i="10" s="1"/>
  <c r="D63" i="10"/>
  <c r="AS303" i="10"/>
  <c r="AO306" i="10" s="1"/>
  <c r="AQ303" i="10"/>
  <c r="AM307" i="10" s="1"/>
  <c r="BB303" i="10"/>
  <c r="AX307" i="10" s="1"/>
  <c r="BD303" i="10"/>
  <c r="AZ306" i="10" s="1"/>
  <c r="AG308" i="9"/>
  <c r="AG315" i="9" s="1"/>
  <c r="BO307" i="9"/>
  <c r="BK310" i="9" s="1"/>
  <c r="BM307" i="9"/>
  <c r="BI311" i="9" s="1"/>
  <c r="D56" i="9"/>
  <c r="P303" i="9"/>
  <c r="P304" i="9" s="1"/>
  <c r="M303" i="9"/>
  <c r="M304" i="9" s="1"/>
  <c r="T303" i="9"/>
  <c r="T304" i="9" s="1"/>
  <c r="AH331" i="9"/>
  <c r="AG337" i="9" s="1"/>
  <c r="S321" i="9" s="1"/>
  <c r="AQ307" i="9"/>
  <c r="AM311" i="9" s="1"/>
  <c r="AS307" i="9"/>
  <c r="AO310" i="9" s="1"/>
  <c r="BD307" i="9"/>
  <c r="AZ310" i="9" s="1"/>
  <c r="BB307" i="9"/>
  <c r="AX311" i="9" s="1"/>
  <c r="AS349" i="8"/>
  <c r="AO352" i="8" s="1"/>
  <c r="AQ349" i="8"/>
  <c r="AM353" i="8" s="1"/>
  <c r="BB349" i="8"/>
  <c r="AX353" i="8" s="1"/>
  <c r="BD349" i="8"/>
  <c r="AZ352" i="8" s="1"/>
  <c r="BO349" i="8"/>
  <c r="BK352" i="8" s="1"/>
  <c r="BM349" i="8"/>
  <c r="BI353" i="8" s="1"/>
  <c r="P345" i="8"/>
  <c r="P346" i="8" s="1"/>
  <c r="T345" i="8"/>
  <c r="T346" i="8" s="1"/>
  <c r="M345" i="8"/>
  <c r="M346" i="8" s="1"/>
  <c r="AG350" i="8"/>
  <c r="AG357" i="8" s="1"/>
  <c r="AH373" i="8"/>
  <c r="AG379" i="8" s="1"/>
  <c r="D302" i="8" l="1"/>
  <c r="D234" i="8"/>
  <c r="D193" i="10"/>
  <c r="AG309" i="11"/>
  <c r="AG316" i="11" s="1"/>
  <c r="D189" i="9"/>
  <c r="D264" i="11"/>
  <c r="K306" i="9"/>
  <c r="K308" i="9" s="1"/>
  <c r="K348" i="8"/>
  <c r="K302" i="10"/>
  <c r="K304" i="10" s="1"/>
  <c r="BN311" i="11"/>
  <c r="AG318" i="11"/>
  <c r="AG319" i="11" s="1"/>
  <c r="J322" i="11"/>
  <c r="J325" i="11" s="1"/>
  <c r="J326" i="11" s="1"/>
  <c r="AP318" i="11"/>
  <c r="AR311" i="11"/>
  <c r="M329" i="11"/>
  <c r="M332" i="11" s="1"/>
  <c r="M333" i="11" s="1"/>
  <c r="AG340" i="11"/>
  <c r="AG341" i="11" s="1"/>
  <c r="K307" i="11"/>
  <c r="K309" i="11" s="1"/>
  <c r="BA318" i="11"/>
  <c r="BC311" i="11"/>
  <c r="AG313" i="10"/>
  <c r="AG314" i="10" s="1"/>
  <c r="J317" i="10"/>
  <c r="J320" i="10" s="1"/>
  <c r="J321" i="10" s="1"/>
  <c r="AG335" i="10"/>
  <c r="AG336" i="10" s="1"/>
  <c r="M324" i="10"/>
  <c r="M327" i="10" s="1"/>
  <c r="M328" i="10" s="1"/>
  <c r="BA313" i="10"/>
  <c r="BC306" i="10"/>
  <c r="AP313" i="10"/>
  <c r="AR306" i="10"/>
  <c r="BN306" i="10"/>
  <c r="BL313" i="10"/>
  <c r="J321" i="9"/>
  <c r="J324" i="9" s="1"/>
  <c r="J325" i="9" s="1"/>
  <c r="AG317" i="9"/>
  <c r="AG318" i="9" s="1"/>
  <c r="AR310" i="9"/>
  <c r="AP317" i="9"/>
  <c r="M328" i="9"/>
  <c r="M331" i="9" s="1"/>
  <c r="M332" i="9" s="1"/>
  <c r="AG339" i="9"/>
  <c r="AG340" i="9" s="1"/>
  <c r="BA317" i="9"/>
  <c r="BC310" i="9"/>
  <c r="BN310" i="9"/>
  <c r="BL317" i="9"/>
  <c r="K350" i="8"/>
  <c r="M370" i="8"/>
  <c r="M373" i="8" s="1"/>
  <c r="M374" i="8" s="1"/>
  <c r="AG381" i="8"/>
  <c r="AG382" i="8" s="1"/>
  <c r="AG359" i="8"/>
  <c r="AG360" i="8" s="1"/>
  <c r="J363" i="8"/>
  <c r="J366" i="8" s="1"/>
  <c r="J367" i="8" s="1"/>
  <c r="BN352" i="8"/>
  <c r="BL359" i="8"/>
  <c r="BA359" i="8"/>
  <c r="BC352" i="8"/>
  <c r="AP359" i="8"/>
  <c r="AR352" i="8"/>
  <c r="BA324" i="11" l="1"/>
  <c r="BA327" i="11" s="1"/>
  <c r="BA333" i="11" s="1"/>
  <c r="P325" i="11"/>
  <c r="P326" i="11" s="1"/>
  <c r="BA320" i="11"/>
  <c r="BL324" i="11"/>
  <c r="BL327" i="11" s="1"/>
  <c r="BL333" i="11" s="1"/>
  <c r="S325" i="11"/>
  <c r="S326" i="11" s="1"/>
  <c r="BL320" i="11"/>
  <c r="AP320" i="11"/>
  <c r="AP324" i="11"/>
  <c r="AP327" i="11" s="1"/>
  <c r="AP333" i="11" s="1"/>
  <c r="M322" i="11"/>
  <c r="M325" i="11" s="1"/>
  <c r="M326" i="11" s="1"/>
  <c r="BL319" i="10"/>
  <c r="BL322" i="10" s="1"/>
  <c r="BL328" i="10" s="1"/>
  <c r="S317" i="10"/>
  <c r="S320" i="10" s="1"/>
  <c r="S321" i="10" s="1"/>
  <c r="BL315" i="10"/>
  <c r="M317" i="10"/>
  <c r="M320" i="10" s="1"/>
  <c r="M321" i="10" s="1"/>
  <c r="AP315" i="10"/>
  <c r="AP319" i="10"/>
  <c r="AP322" i="10" s="1"/>
  <c r="AP328" i="10" s="1"/>
  <c r="BA319" i="10"/>
  <c r="BA322" i="10" s="1"/>
  <c r="BA328" i="10" s="1"/>
  <c r="BA315" i="10"/>
  <c r="P317" i="10"/>
  <c r="P320" i="10" s="1"/>
  <c r="P321" i="10" s="1"/>
  <c r="BL323" i="9"/>
  <c r="BL326" i="9" s="1"/>
  <c r="BL332" i="9" s="1"/>
  <c r="S324" i="9"/>
  <c r="S325" i="9" s="1"/>
  <c r="BL319" i="9"/>
  <c r="BA323" i="9"/>
  <c r="BA326" i="9" s="1"/>
  <c r="BA332" i="9" s="1"/>
  <c r="P321" i="9"/>
  <c r="P324" i="9" s="1"/>
  <c r="P325" i="9" s="1"/>
  <c r="BA319" i="9"/>
  <c r="AP323" i="9"/>
  <c r="AP326" i="9" s="1"/>
  <c r="AP332" i="9" s="1"/>
  <c r="M321" i="9"/>
  <c r="M324" i="9" s="1"/>
  <c r="M325" i="9" s="1"/>
  <c r="AP319" i="9"/>
  <c r="AP365" i="8"/>
  <c r="AP368" i="8" s="1"/>
  <c r="AP374" i="8" s="1"/>
  <c r="M363" i="8"/>
  <c r="M366" i="8" s="1"/>
  <c r="M367" i="8" s="1"/>
  <c r="AP361" i="8"/>
  <c r="BL361" i="8"/>
  <c r="BL365" i="8"/>
  <c r="BL368" i="8" s="1"/>
  <c r="BL374" i="8" s="1"/>
  <c r="S363" i="8"/>
  <c r="S366" i="8" s="1"/>
  <c r="S367" i="8" s="1"/>
  <c r="BA365" i="8"/>
  <c r="BA368" i="8" s="1"/>
  <c r="BA374" i="8" s="1"/>
  <c r="P363" i="8"/>
  <c r="BA361" i="8"/>
  <c r="P366" i="8" l="1"/>
  <c r="P367" i="8" s="1"/>
  <c r="N377" i="8" s="1"/>
  <c r="F342" i="8" s="1"/>
  <c r="H342" i="8" s="1"/>
  <c r="N336" i="11"/>
  <c r="F303" i="11" s="1"/>
  <c r="H303" i="11" s="1"/>
  <c r="N335" i="9"/>
  <c r="F302" i="9" s="1"/>
  <c r="H302" i="9" s="1"/>
  <c r="N331" i="10"/>
  <c r="F298" i="10" s="1"/>
  <c r="H298" i="10" s="1"/>
  <c r="F297" i="10" l="1"/>
  <c r="H297" i="10" s="1"/>
  <c r="F296" i="10"/>
  <c r="H296" i="10" s="1"/>
  <c r="F301" i="11"/>
  <c r="H301" i="11" s="1"/>
  <c r="F300" i="11"/>
  <c r="F305" i="11" s="1"/>
  <c r="H305" i="11" s="1"/>
  <c r="F302" i="11"/>
  <c r="H302" i="11" s="1"/>
  <c r="F295" i="10"/>
  <c r="F300" i="10" s="1"/>
  <c r="H300" i="10" s="1"/>
  <c r="F299" i="9"/>
  <c r="H299" i="9" s="1"/>
  <c r="F300" i="9"/>
  <c r="H300" i="9" s="1"/>
  <c r="F301" i="9"/>
  <c r="H301" i="9" s="1"/>
  <c r="F343" i="8"/>
  <c r="H343" i="8" s="1"/>
  <c r="F341" i="8"/>
  <c r="F344" i="8"/>
  <c r="H344" i="8" s="1"/>
  <c r="H295" i="10" l="1"/>
  <c r="F304" i="9"/>
  <c r="H304" i="9" s="1"/>
  <c r="H300" i="11"/>
  <c r="H341" i="8"/>
  <c r="F346" i="8"/>
  <c r="H346" i="8" s="1"/>
  <c r="O317" i="1" l="1"/>
  <c r="J347" i="1"/>
  <c r="J300" i="1"/>
  <c r="K312" i="1"/>
  <c r="K314" i="1" s="1"/>
  <c r="K307" i="1"/>
  <c r="F305" i="1" s="1"/>
  <c r="K319" i="1" l="1"/>
  <c r="C6" i="1"/>
  <c r="D19" i="1"/>
  <c r="D20" i="1" s="1"/>
  <c r="D34" i="1"/>
  <c r="D35" i="1" s="1"/>
  <c r="D50" i="1"/>
  <c r="D51" i="1" s="1"/>
  <c r="D58" i="1"/>
  <c r="D64" i="1" s="1"/>
  <c r="D73" i="1"/>
  <c r="D74" i="1" s="1"/>
  <c r="D82" i="1"/>
  <c r="D83" i="1" s="1"/>
  <c r="D96" i="1"/>
  <c r="D97" i="1" s="1"/>
  <c r="D102" i="1"/>
  <c r="D105" i="1"/>
  <c r="D108" i="1"/>
  <c r="D112" i="1"/>
  <c r="D113" i="1" s="1"/>
  <c r="D114" i="1" s="1"/>
  <c r="D129" i="1"/>
  <c r="D130" i="1"/>
  <c r="D131" i="1"/>
  <c r="D132" i="1"/>
  <c r="D133" i="1"/>
  <c r="D138" i="1"/>
  <c r="D166" i="1"/>
  <c r="D167" i="1"/>
  <c r="D168" i="1"/>
  <c r="D169" i="1"/>
  <c r="D170" i="1"/>
  <c r="D203" i="1"/>
  <c r="D204" i="1" s="1"/>
  <c r="D216" i="1"/>
  <c r="D217" i="1"/>
  <c r="D218" i="1"/>
  <c r="D219" i="1"/>
  <c r="D220" i="1"/>
  <c r="D224" i="1"/>
  <c r="D227" i="1"/>
  <c r="D244" i="1"/>
  <c r="D245" i="1"/>
  <c r="D246" i="1"/>
  <c r="D247" i="1"/>
  <c r="D248" i="1"/>
  <c r="D252" i="1"/>
  <c r="D255" i="1"/>
  <c r="D271" i="1"/>
  <c r="F271" i="1" s="1"/>
  <c r="D275" i="1"/>
  <c r="F275" i="1" s="1"/>
  <c r="J301" i="1"/>
  <c r="M305" i="1" s="1"/>
  <c r="M306" i="1" s="1"/>
  <c r="O301" i="1"/>
  <c r="S301" i="1"/>
  <c r="W305" i="1" s="1"/>
  <c r="W306" i="1" s="1"/>
  <c r="G306" i="1"/>
  <c r="H305" i="1"/>
  <c r="AF307" i="1"/>
  <c r="AE311" i="1" s="1"/>
  <c r="AP307" i="1"/>
  <c r="AQ307" i="1"/>
  <c r="BA307" i="1"/>
  <c r="BB307" i="1"/>
  <c r="BL307" i="1"/>
  <c r="BM307" i="1"/>
  <c r="AO309" i="1"/>
  <c r="AN313" i="1" s="1"/>
  <c r="AQ309" i="1" s="1"/>
  <c r="AZ309" i="1"/>
  <c r="AY313" i="1" s="1"/>
  <c r="BK309" i="1"/>
  <c r="BJ313" i="1" s="1"/>
  <c r="AU312" i="1"/>
  <c r="BF312" i="1"/>
  <c r="BQ312" i="1"/>
  <c r="O313" i="1"/>
  <c r="O315" i="1" s="1"/>
  <c r="S313" i="1"/>
  <c r="S315" i="1" s="1"/>
  <c r="AU314" i="1"/>
  <c r="BF314" i="1"/>
  <c r="BQ314" i="1"/>
  <c r="AG315" i="1"/>
  <c r="AO316" i="1"/>
  <c r="AY316" i="1"/>
  <c r="AZ316" i="1" s="1"/>
  <c r="BJ316" i="1"/>
  <c r="BK316" i="1"/>
  <c r="S317" i="1"/>
  <c r="O319" i="1"/>
  <c r="AF328" i="1"/>
  <c r="AF329" i="1" s="1"/>
  <c r="AE333" i="1" s="1"/>
  <c r="AE334" i="1" s="1"/>
  <c r="J333" i="1"/>
  <c r="J334" i="1" s="1"/>
  <c r="S333" i="1"/>
  <c r="S334" i="1" s="1"/>
  <c r="AG337" i="1"/>
  <c r="D362" i="1"/>
  <c r="C376" i="1"/>
  <c r="C393" i="1"/>
  <c r="C399" i="1"/>
  <c r="C405" i="1"/>
  <c r="C411" i="1"/>
  <c r="D153" i="1" l="1"/>
  <c r="D154" i="1" s="1"/>
  <c r="D191" i="1"/>
  <c r="D192" i="1" s="1"/>
  <c r="D85" i="1"/>
  <c r="C413" i="1"/>
  <c r="AO312" i="1"/>
  <c r="AM313" i="1"/>
  <c r="AP319" i="1" s="1"/>
  <c r="AP321" i="1" s="1"/>
  <c r="AG310" i="1"/>
  <c r="AG317" i="1" s="1"/>
  <c r="BB309" i="1"/>
  <c r="AZ312" i="1" s="1"/>
  <c r="D231" i="1"/>
  <c r="D232" i="1" s="1"/>
  <c r="B277" i="1"/>
  <c r="D53" i="1"/>
  <c r="D117" i="1"/>
  <c r="D118" i="1" s="1"/>
  <c r="D259" i="1"/>
  <c r="D260" i="1" s="1"/>
  <c r="S319" i="1"/>
  <c r="P333" i="1"/>
  <c r="P334" i="1" s="1"/>
  <c r="AE312" i="1"/>
  <c r="T305" i="1"/>
  <c r="T306" i="1" s="1"/>
  <c r="J305" i="1"/>
  <c r="J306" i="1" s="1"/>
  <c r="AX313" i="1"/>
  <c r="AR312" i="1"/>
  <c r="AH333" i="1"/>
  <c r="AG339" i="1" s="1"/>
  <c r="BM309" i="1"/>
  <c r="BI313" i="1" s="1"/>
  <c r="BO309" i="1"/>
  <c r="BK312" i="1" s="1"/>
  <c r="BD309" i="1"/>
  <c r="AS309" i="1"/>
  <c r="Z305" i="1"/>
  <c r="Z306" i="1" s="1"/>
  <c r="P305" i="1"/>
  <c r="P306" i="1" s="1"/>
  <c r="M323" i="1" l="1"/>
  <c r="D194" i="1"/>
  <c r="AG319" i="1"/>
  <c r="AG320" i="1" s="1"/>
  <c r="BC312" i="1"/>
  <c r="BA319" i="1"/>
  <c r="BA321" i="1" s="1"/>
  <c r="D262" i="1"/>
  <c r="J323" i="1"/>
  <c r="J326" i="1" s="1"/>
  <c r="J327" i="1" s="1"/>
  <c r="BA325" i="1"/>
  <c r="BA328" i="1" s="1"/>
  <c r="BA334" i="1" s="1"/>
  <c r="K308" i="1"/>
  <c r="K310" i="1" s="1"/>
  <c r="M326" i="1"/>
  <c r="M327" i="1" s="1"/>
  <c r="AP325" i="1"/>
  <c r="AP328" i="1" s="1"/>
  <c r="AP334" i="1" s="1"/>
  <c r="P323" i="1"/>
  <c r="P326" i="1" s="1"/>
  <c r="P327" i="1" s="1"/>
  <c r="BN312" i="1"/>
  <c r="BL319" i="1"/>
  <c r="M333" i="1"/>
  <c r="M334" i="1" s="1"/>
  <c r="AG341" i="1"/>
  <c r="AG342" i="1" s="1"/>
  <c r="BL325" i="1" l="1"/>
  <c r="BL328" i="1" s="1"/>
  <c r="BL334" i="1" s="1"/>
  <c r="S323" i="1"/>
  <c r="S326" i="1" s="1"/>
  <c r="S327" i="1" s="1"/>
  <c r="N337" i="1" s="1"/>
  <c r="BL321" i="1"/>
  <c r="F304" i="1" l="1"/>
  <c r="H304" i="1" s="1"/>
  <c r="F303" i="1"/>
  <c r="H303" i="1" s="1"/>
  <c r="F302" i="1"/>
  <c r="H302" i="1" s="1"/>
  <c r="F301" i="1"/>
  <c r="H301" i="1" l="1"/>
  <c r="F306" i="1"/>
  <c r="H3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choward4</author>
  </authors>
  <commentList>
    <comment ref="F30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  <comment ref="F30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choward4</author>
  </authors>
  <commentList>
    <comment ref="F345" authorId="0" shapeId="0" xr:uid="{F751195F-7486-48BD-BEB8-632EC34F7627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  <comment ref="F346" authorId="0" shapeId="0" xr:uid="{BF916EEC-7807-46F9-B87B-C98E2259AAF9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choward4</author>
  </authors>
  <commentList>
    <comment ref="F303" authorId="0" shapeId="0" xr:uid="{C397FB1B-DF6D-4592-9518-57AFFED1AE70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  <comment ref="F304" authorId="0" shapeId="0" xr:uid="{A133D24D-0044-4F0B-B2DB-EDCDDBB2C051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choward4</author>
  </authors>
  <commentList>
    <comment ref="F299" authorId="0" shapeId="0" xr:uid="{4440AFE5-9609-467E-B779-EDF6DF71B6D1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  <comment ref="F300" authorId="0" shapeId="0" xr:uid="{1DD4AC30-1FDD-4280-B0AE-D444E482E0A6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choward4</author>
  </authors>
  <commentList>
    <comment ref="F304" authorId="0" shapeId="0" xr:uid="{DCA41AE8-4188-418D-B9B6-D9E2A68A87AC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  <comment ref="F305" authorId="0" shapeId="0" xr:uid="{410EDF27-82E4-4015-89D9-8A61FE8A8151}">
      <text>
        <r>
          <rPr>
            <b/>
            <sz val="9"/>
            <color indexed="81"/>
            <rFont val="Tahoma"/>
            <family val="2"/>
          </rPr>
          <t>choward4:</t>
        </r>
        <r>
          <rPr>
            <sz val="9"/>
            <color indexed="81"/>
            <rFont val="Tahoma"/>
            <family val="2"/>
          </rPr>
          <t xml:space="preserve">
Calculated Value</t>
        </r>
      </text>
    </comment>
  </commentList>
</comments>
</file>

<file path=xl/sharedStrings.xml><?xml version="1.0" encoding="utf-8"?>
<sst xmlns="http://schemas.openxmlformats.org/spreadsheetml/2006/main" count="4739" uniqueCount="456">
  <si>
    <t>EACH</t>
  </si>
  <si>
    <t>518 - SCUPPER, MISC.: DEBRIS REMOVAL</t>
  </si>
  <si>
    <t>SQ YD</t>
  </si>
  <si>
    <t>SQ FT</t>
  </si>
  <si>
    <t xml:space="preserve">Repair Area = </t>
  </si>
  <si>
    <t># of Repair Areas =</t>
  </si>
  <si>
    <t>FT</t>
  </si>
  <si>
    <t>Repair Area Width =</t>
  </si>
  <si>
    <t>Repair Area Length =</t>
  </si>
  <si>
    <t>Rear Abutment - Top of Backwall</t>
  </si>
  <si>
    <t>(Along overlay construction joint)</t>
  </si>
  <si>
    <t>SF</t>
  </si>
  <si>
    <t>Deck Slab</t>
  </si>
  <si>
    <t>ITEM 519 - PATCHING CONCRETE STRUCTURE - TYPE B</t>
  </si>
  <si>
    <t xml:space="preserve">Total = </t>
  </si>
  <si>
    <t>Repair Area Height =</t>
  </si>
  <si>
    <t>Pier 1 Stem</t>
  </si>
  <si>
    <t>Pier 1 Cap</t>
  </si>
  <si>
    <t>Fwd Abutment</t>
  </si>
  <si>
    <t>Rear Abutment</t>
  </si>
  <si>
    <t>ITEM 519 - PATCHING CONCRETE STRUCTURE</t>
  </si>
  <si>
    <t>TOTAL =</t>
  </si>
  <si>
    <t>ITEM 518 - SCUPPER, VERTICAL EXTENSION</t>
  </si>
  <si>
    <t>FWD. ABUTMENT</t>
  </si>
  <si>
    <t>REAR ABUTMENT</t>
  </si>
  <si>
    <t>ITEM 516 - 1/8" PREFORMED BEARING PAD</t>
  </si>
  <si>
    <t>ITEM 516 - BEARING DEVICE , ROCKER, AS PER PLAN</t>
  </si>
  <si>
    <t xml:space="preserve"> </t>
  </si>
  <si>
    <t xml:space="preserve">PIER 4 = </t>
  </si>
  <si>
    <t>ITEM 516 - BEARING DEVICE ,MISC.: BEARING REPAIR</t>
  </si>
  <si>
    <t>Total Length =</t>
  </si>
  <si>
    <t>Fwd Expansion Joint Length =</t>
  </si>
  <si>
    <t>Rear Expansion Joint Length =</t>
  </si>
  <si>
    <t>Degrees</t>
  </si>
  <si>
    <t xml:space="preserve">Skew = </t>
  </si>
  <si>
    <t>Deck Slab Width =</t>
  </si>
  <si>
    <t>ITEM 516 - STRUCTURAL EXPANSION JOINT INCLUDING ELASTOMERIC STRIP SEAL, AS PER PLAN</t>
  </si>
  <si>
    <t>sq ft</t>
  </si>
  <si>
    <t>area:</t>
  </si>
  <si>
    <t>ft</t>
  </si>
  <si>
    <t>length:</t>
  </si>
  <si>
    <t>height:</t>
  </si>
  <si>
    <t>Federal Color 20059 Dark Brown for Weathering Steel</t>
  </si>
  <si>
    <t>Sheet Pile Wall</t>
  </si>
  <si>
    <t>Sq Ft</t>
  </si>
  <si>
    <t>Area + 10%</t>
  </si>
  <si>
    <t>Incl. Gusset Pl. =&gt; =</t>
  </si>
  <si>
    <t xml:space="preserve">L3x3x1/4" Paint Area = </t>
  </si>
  <si>
    <t>Ft</t>
  </si>
  <si>
    <t xml:space="preserve"> Total X-Frame member length =</t>
  </si>
  <si>
    <r>
      <t xml:space="preserve">Federal Color 14277 Green    </t>
    </r>
    <r>
      <rPr>
        <b/>
        <strike/>
        <sz val="11"/>
        <color theme="1"/>
        <rFont val="Aptos Narrow"/>
        <family val="2"/>
        <scheme val="minor"/>
      </rPr>
      <t>15526 Lt. Blue</t>
    </r>
  </si>
  <si>
    <t>GRAND TOTAL FOR PAINTING:</t>
  </si>
  <si>
    <t>Pounds</t>
  </si>
  <si>
    <t>Total Weight of End Crossframe Structural Steel</t>
  </si>
  <si>
    <t>area + 10%:</t>
  </si>
  <si>
    <t>quantity:</t>
  </si>
  <si>
    <t># of End Crossframes</t>
  </si>
  <si>
    <t>Lateral Brace WT6X135</t>
  </si>
  <si>
    <t>designation:</t>
  </si>
  <si>
    <t>Lateral Brace WT4X8.5</t>
  </si>
  <si>
    <t>Var. Depth Int. 3-Leg X-frame</t>
  </si>
  <si>
    <t>Utility Supports</t>
  </si>
  <si>
    <t>surface area:</t>
  </si>
  <si>
    <t>Add 10% for gusset plates</t>
  </si>
  <si>
    <t>in</t>
  </si>
  <si>
    <r>
      <t>t</t>
    </r>
    <r>
      <rPr>
        <vertAlign val="subscript"/>
        <sz val="11"/>
        <color theme="1"/>
        <rFont val="Aptos Narrow"/>
        <family val="2"/>
        <scheme val="minor"/>
      </rPr>
      <t>f</t>
    </r>
    <r>
      <rPr>
        <sz val="11"/>
        <color theme="1"/>
        <rFont val="Aptos Narrow"/>
        <family val="2"/>
        <scheme val="minor"/>
      </rPr>
      <t xml:space="preserve"> =</t>
    </r>
  </si>
  <si>
    <t>Girder Web Ht=</t>
  </si>
  <si>
    <t>90" Max PL Girder</t>
  </si>
  <si>
    <t>C=</t>
  </si>
  <si>
    <t>C</t>
  </si>
  <si>
    <t>Steel Weight for end Crossframes</t>
  </si>
  <si>
    <t>Variable Depth Intermediate Crossframes for Beams 1-5</t>
  </si>
  <si>
    <t>End X-frame</t>
  </si>
  <si>
    <t>Forward End X-frame</t>
  </si>
  <si>
    <t>Rear End X-frame</t>
  </si>
  <si>
    <t>Int. 3 Leg X-frame</t>
  </si>
  <si>
    <t>End Crossframe</t>
  </si>
  <si>
    <t>Paint area per =</t>
  </si>
  <si>
    <t>Stiffener edge included with web painting</t>
  </si>
  <si>
    <t xml:space="preserve">L4x4x5/16" Paint Area = </t>
  </si>
  <si>
    <t>Area =</t>
  </si>
  <si>
    <t>17.666+(2*7.10)+(2*4.93)+3.96</t>
  </si>
  <si>
    <t>length=</t>
  </si>
  <si>
    <t>9.5+(2*5.5)+(2*4.77)</t>
  </si>
  <si>
    <t>8.42+(2*6.47)+(2*6)</t>
  </si>
  <si>
    <t>Each</t>
  </si>
  <si>
    <t># of Scuppers</t>
  </si>
  <si>
    <t># of Stiffeners</t>
  </si>
  <si>
    <t>Scupper Surf. Area =</t>
  </si>
  <si>
    <t>Pier Brg. Stiff. surf. area:</t>
  </si>
  <si>
    <t>Abut. Brg. Stiff. surf. area:</t>
  </si>
  <si>
    <t>Stiffener surface area:</t>
  </si>
  <si>
    <t>Longitudinal Web Stiffeners at Piers</t>
  </si>
  <si>
    <t>Variable Depth Vertical</t>
  </si>
  <si>
    <t>Vert. Stiffener surf. area:</t>
  </si>
  <si>
    <t>Total Paint Area for all Beams</t>
  </si>
  <si>
    <t>Total # of Beams</t>
  </si>
  <si>
    <t>Girder Ht=</t>
  </si>
  <si>
    <t>Total Area per Beam</t>
  </si>
  <si>
    <t>Total Beam Length =</t>
  </si>
  <si>
    <t>C/6</t>
  </si>
  <si>
    <t>C/3</t>
  </si>
  <si>
    <t>FINAL INSPECTION REPAIR</t>
  </si>
  <si>
    <t>Bays 2-3 &amp; 3-4</t>
  </si>
  <si>
    <t>Bays 1-2 &amp; 4-5</t>
  </si>
  <si>
    <t>Beams 1-5</t>
  </si>
  <si>
    <t>MANHOURS</t>
  </si>
  <si>
    <t>GRINDING FINS, TEARS, SLIVERS ON EXISTING STRUCTURAL STEEL</t>
  </si>
  <si>
    <t>00504</t>
  </si>
  <si>
    <t>Mid Span</t>
  </si>
  <si>
    <t>End Span</t>
  </si>
  <si>
    <t>FIELD PAINTING OF EXISTING STRUCTURAL STEEL, FINISH COAT</t>
  </si>
  <si>
    <t>00066</t>
  </si>
  <si>
    <t xml:space="preserve"> lb per ft</t>
  </si>
  <si>
    <t>L4x4x5/16</t>
  </si>
  <si>
    <t>FIELD PAINTING OF EXISTING STRUCTURAL STEEL, INTERMEDIATE COAT</t>
  </si>
  <si>
    <t>00060</t>
  </si>
  <si>
    <t>Forward Abutment End Crossframes</t>
  </si>
  <si>
    <t>Rear Abutment End Crossframes for Beams 1-5</t>
  </si>
  <si>
    <t>Intermediate Crossframes for Beams 1-5</t>
  </si>
  <si>
    <t>FIELD PAINTING OF EXISTING STRUCTURAL STEEL, PRIME COAT</t>
  </si>
  <si>
    <t>00056</t>
  </si>
  <si>
    <t>56" PL. Girder Variable Depth (20" Wide Flange)</t>
  </si>
  <si>
    <t>56" PL. Girder Variable Depth (16" Wide Flange)</t>
  </si>
  <si>
    <t>SURFACE PREPARATION OF EXISTING STRUCTURAL STEEL</t>
  </si>
  <si>
    <t>00050</t>
  </si>
  <si>
    <r>
      <t>2D+3W-2t</t>
    </r>
    <r>
      <rPr>
        <vertAlign val="subscript"/>
        <sz val="11"/>
        <color theme="1"/>
        <rFont val="Aptos Narrow"/>
        <family val="2"/>
        <scheme val="minor"/>
      </rPr>
      <t>w</t>
    </r>
  </si>
  <si>
    <t>Wall</t>
  </si>
  <si>
    <t>Bridge</t>
  </si>
  <si>
    <t>Sheet Pile</t>
  </si>
  <si>
    <t xml:space="preserve">ITEM 514 - (Paint the structural steel using OZEU 514 specifications using Federal Color Number 15450 Blue). </t>
  </si>
  <si>
    <t>TOTAL # OF CROSSFRAME STIFFENER LOCATIONS =</t>
  </si>
  <si>
    <t>ITEM 513 - STRUCTURAL STEEL, MISC.: WELDING CROSSFRAME STIFFENERS</t>
  </si>
  <si>
    <t xml:space="preserve">TOTAL = </t>
  </si>
  <si>
    <t>SQ FT  =</t>
  </si>
  <si>
    <t>BRIDGE DECK SEALING AREA =</t>
  </si>
  <si>
    <t>(TOE/TOE OF PARAPETS)</t>
  </si>
  <si>
    <t>BRIDGE DECK WIDTH =</t>
  </si>
  <si>
    <t>(BRIDGE LIMITS)</t>
  </si>
  <si>
    <t>BRIDGE DECK LENGTH</t>
  </si>
  <si>
    <t>APPROACH SLAB SEALING AREA =</t>
  </si>
  <si>
    <t># OF APPROACH SLABS =</t>
  </si>
  <si>
    <t>APPROACH SLAB WIDTH =</t>
  </si>
  <si>
    <t>APPROACH SLAB LENGTH =</t>
  </si>
  <si>
    <t>GRAND TOTAL =</t>
  </si>
  <si>
    <t xml:space="preserve">TOTAL AREA = </t>
  </si>
  <si>
    <t># of wing Walls =</t>
  </si>
  <si>
    <t>WINGWALLS=</t>
  </si>
  <si>
    <t># of Wing Wall Parapets =</t>
  </si>
  <si>
    <t>WINGWALL PARAPET AREA =</t>
  </si>
  <si>
    <t>WINGWALL PARAPET LENGTH</t>
  </si>
  <si>
    <t>WINGWALL PARAPET PERIMETER=</t>
  </si>
  <si>
    <t>FACE OF BACKWALL=</t>
  </si>
  <si>
    <t xml:space="preserve">CURTAIN WALLS = </t>
  </si>
  <si>
    <t>SIDES OF BEAM SEAT</t>
  </si>
  <si>
    <t>BEAM SEAT =</t>
  </si>
  <si>
    <t>FACE OF BEAM SEAT =</t>
  </si>
  <si>
    <t xml:space="preserve">CURTAIN WALL HEIGHT = </t>
  </si>
  <si>
    <t>BACKWALL HEIGHT =</t>
  </si>
  <si>
    <t>BACKWALL THICKNESS =</t>
  </si>
  <si>
    <t>HEIGHT FROM GROUND TO BEAM SEAT =</t>
  </si>
  <si>
    <t>BEAM SEAT LENGTH =</t>
  </si>
  <si>
    <t>BEAM SEAT WIDTH =</t>
  </si>
  <si>
    <t>FORWARD ABUTMENT (ASSUME ALL CONCRETE IS SEALED ABOVE TOP OF FOOTING)</t>
  </si>
  <si>
    <t>REAR ABUTMENT (ASSUME ALL CONCRETE IS SEALED ABOVE TOP OF FOOTING)</t>
  </si>
  <si>
    <t>DEDUCT PARAPET REMOVAL AREA (10'*5.5'/9)</t>
  </si>
  <si>
    <t xml:space="preserve">SEALING AREA = </t>
  </si>
  <si>
    <t># OF SIDES =</t>
  </si>
  <si>
    <t>DECK EDGE/PARAPET PERIMETER =</t>
  </si>
  <si>
    <t>BRIDGE DECK LENGTH =</t>
  </si>
  <si>
    <t>BRIDGE DECK/PARAPET</t>
  </si>
  <si>
    <t>ITEM 512 - REMOVAL OF COATINGS FROM CONCRETE SURFACES</t>
  </si>
  <si>
    <t># OF BOTTOM AREAS</t>
  </si>
  <si>
    <t>BOTTOM AREA =</t>
  </si>
  <si>
    <t>BOTTOM LENGTH =</t>
  </si>
  <si>
    <t xml:space="preserve">BOTTOM ANGLE = </t>
  </si>
  <si>
    <t>BOTTOM OF PIER CAP</t>
  </si>
  <si>
    <t># OF SIDE AREAS</t>
  </si>
  <si>
    <t>SIDE OF PIER CAP</t>
  </si>
  <si>
    <t># OF TOP AREAS</t>
  </si>
  <si>
    <t>TOP OF PIER CAP</t>
  </si>
  <si>
    <t># OF ENDS</t>
  </si>
  <si>
    <t>END OF PIER CAP</t>
  </si>
  <si>
    <t>PIER THICKNESS</t>
  </si>
  <si>
    <t># OF PIERS =</t>
  </si>
  <si>
    <t>PIER CAPS</t>
  </si>
  <si>
    <t>ITEM 512 - SEALING OF CONCRETE SURFACES WITH EPOXY URETHANE</t>
  </si>
  <si>
    <t>CU YD</t>
  </si>
  <si>
    <t>CU FT</t>
  </si>
  <si>
    <t xml:space="preserve">Volume = </t>
  </si>
  <si>
    <t xml:space="preserve">Backwall Height = </t>
  </si>
  <si>
    <t>Backwall Length =</t>
  </si>
  <si>
    <t>Backwall Width =</t>
  </si>
  <si>
    <t xml:space="preserve">FORWARD ABUMENT </t>
  </si>
  <si>
    <t xml:space="preserve">REAR ABUMENT </t>
  </si>
  <si>
    <t># of Transitions</t>
  </si>
  <si>
    <t>CY</t>
  </si>
  <si>
    <t xml:space="preserve">Transition Volume = </t>
  </si>
  <si>
    <t xml:space="preserve"># of Parapets = </t>
  </si>
  <si>
    <t xml:space="preserve">Length = </t>
  </si>
  <si>
    <t xml:space="preserve">End Area = </t>
  </si>
  <si>
    <t>PARAPETS</t>
  </si>
  <si>
    <t>ITEM 511 - CLASS QC2 CONCRETE, SUPERSTRUCTURE (PARAPET REPAIR)</t>
  </si>
  <si>
    <t>Volume =</t>
  </si>
  <si>
    <t>Girder Flange Width =</t>
  </si>
  <si>
    <t>Deck Overhang Width =</t>
  </si>
  <si>
    <t>INCHES</t>
  </si>
  <si>
    <t>Add'l Thickness at Edge of deck =</t>
  </si>
  <si>
    <t xml:space="preserve">Deck Slab Thickness = </t>
  </si>
  <si>
    <t>Haunch Thickness =</t>
  </si>
  <si>
    <t>Haunch Width =</t>
  </si>
  <si>
    <t>Deck Slab Length =</t>
  </si>
  <si>
    <t xml:space="preserve">DECK SLAB AT FORWARD ABUMENT </t>
  </si>
  <si>
    <t xml:space="preserve">DECK SLAB AT REAR ABUMENT </t>
  </si>
  <si>
    <t>CF</t>
  </si>
  <si>
    <t>ITEM 511 - CLASS QC3 CONCRETE, SUPERSTRUCTURE</t>
  </si>
  <si>
    <t>FWD. ABUTMENT =</t>
  </si>
  <si>
    <t>REAR ABUTMENT =</t>
  </si>
  <si>
    <t xml:space="preserve">PARAPETS= </t>
  </si>
  <si>
    <t>ITEM 510 - DOWEL HOLES WITH NON-SHRINK, NON-METALLIC GROUT</t>
  </si>
  <si>
    <t>L3x3x3/8</t>
  </si>
  <si>
    <t>L5x5x3/8</t>
  </si>
  <si>
    <t>60" PL. Girder Straight  (16" Wide Flange)</t>
  </si>
  <si>
    <t>54" PL Girder</t>
  </si>
  <si>
    <t>60" PL Girder</t>
  </si>
  <si>
    <t xml:space="preserve">Paint for 48 Bearings = </t>
  </si>
  <si>
    <t>54" PL. Girder Straight  (16" Wide Flange)</t>
  </si>
  <si>
    <t xml:space="preserve">Paint for 55 Bearings = </t>
  </si>
  <si>
    <t>36" PL. Girder Straight  (16" Wide Flange)</t>
  </si>
  <si>
    <t>36" PL. Girder Straight  (18" Wide Flange)</t>
  </si>
  <si>
    <t>36" PL Girder</t>
  </si>
  <si>
    <t>A</t>
  </si>
  <si>
    <t>1'x1' =</t>
  </si>
  <si>
    <t>1'x3' =</t>
  </si>
  <si>
    <t>B</t>
  </si>
  <si>
    <t>1'x4' =</t>
  </si>
  <si>
    <t>2'x5' =</t>
  </si>
  <si>
    <t>2'x2' =</t>
  </si>
  <si>
    <t>1'x15' =</t>
  </si>
  <si>
    <t>D</t>
  </si>
  <si>
    <t>2'x3' =</t>
  </si>
  <si>
    <t>1'x2' =</t>
  </si>
  <si>
    <t>E</t>
  </si>
  <si>
    <t>1'x8' =</t>
  </si>
  <si>
    <t>F</t>
  </si>
  <si>
    <t>G</t>
  </si>
  <si>
    <t>H</t>
  </si>
  <si>
    <t>1'x6' =</t>
  </si>
  <si>
    <t>J</t>
  </si>
  <si>
    <t>TOP OF FORWARD ABUTMENT BACKWALL &amp; FORWARD APPROACH SLAB</t>
  </si>
  <si>
    <t>TOP OF REAR ABUTMENT BACKWALL &amp;  REAR APPROACH SLAB</t>
  </si>
  <si>
    <t xml:space="preserve">Paint for 28 Bearings = </t>
  </si>
  <si>
    <t>Intermediate Crossframes for Beams 1-7</t>
  </si>
  <si>
    <t>Rear Abutment End Crossframes for Beams 1-7</t>
  </si>
  <si>
    <t>Forward Abutment End Crossframes Ffor Beams 1 - 7</t>
  </si>
  <si>
    <t>C/4</t>
  </si>
  <si>
    <t>18.42+(8*6.53)</t>
  </si>
  <si>
    <t>15.25+(6*6.9)</t>
  </si>
  <si>
    <t xml:space="preserve">L3x3x3/8" Paint Area = </t>
  </si>
  <si>
    <t>L5x5x3/8"</t>
  </si>
  <si>
    <t>ITEM 451 - TYPE 'C' PRESURE RELIEF JOINT</t>
  </si>
  <si>
    <t>REAR APPROACH SLAB =</t>
  </si>
  <si>
    <t>FORWARD APPROACH SLAB =</t>
  </si>
  <si>
    <t>ITEM 516 - ELASTOMERIC STRIP SEAL WITHOUT STEEL EXTRUSIONS</t>
  </si>
  <si>
    <t>ITEM</t>
  </si>
  <si>
    <t>EXTENSION</t>
  </si>
  <si>
    <t>TOTAL</t>
  </si>
  <si>
    <t>UNIT</t>
  </si>
  <si>
    <t>DESCRIPTION</t>
  </si>
  <si>
    <t>ABUTMENT</t>
  </si>
  <si>
    <t>PIERS</t>
  </si>
  <si>
    <t>SUPERSTRUCTURE</t>
  </si>
  <si>
    <t>GENERAL</t>
  </si>
  <si>
    <t>REFERENCE</t>
  </si>
  <si>
    <t>LUMP</t>
  </si>
  <si>
    <t>PORTIONS OF STRUCTURE REMOVED, OVER 20 FOOT SPAN, AS PER PLAN</t>
  </si>
  <si>
    <t>13/22</t>
  </si>
  <si>
    <t>511</t>
  </si>
  <si>
    <t>CLASS QC2 CONCRETE, SUPERSTRUCTURE</t>
  </si>
  <si>
    <t>SY</t>
  </si>
  <si>
    <t>512</t>
  </si>
  <si>
    <t>74000</t>
  </si>
  <si>
    <t>REMOVAL OF EXISTING COATINGS FROM CONCRETE SURFACES</t>
  </si>
  <si>
    <t>513</t>
  </si>
  <si>
    <t>95030</t>
  </si>
  <si>
    <t>STRUCTURAL STEEL, MISC.: WELDING CROSSFRAME STIFFENERS</t>
  </si>
  <si>
    <t>STRUCTURAL STEEL, MISC. STEEL PREPARATION, INSPECTION, AND NDT.</t>
  </si>
  <si>
    <t>14/22</t>
  </si>
  <si>
    <t>STRUCTURAL STEEL, MISC.: DRILLING STRUCTURAL STEEL</t>
  </si>
  <si>
    <t>514</t>
  </si>
  <si>
    <t>FIELD PAINTING EXISTING STRUCTURAL STEEL, PRIME COAT</t>
  </si>
  <si>
    <t>FIELD PAINTING STRUCTURAL STEEL, INTERMEDIATE COAT</t>
  </si>
  <si>
    <t>FIELD PAINTING STRUCTURAL STEEL, FINISH COAT</t>
  </si>
  <si>
    <t>MNHR</t>
  </si>
  <si>
    <t>516</t>
  </si>
  <si>
    <t>ITEM 516 - ELASTOMERIC BEARING WITH STEEL LAMINATES AND LOAD PLATE (NEOPRENE), AS PER PLAN  (16" DIAMETER x 4.33" TALL WITH 17" DIAMETER x 1.5" LOAD PLATE AND 19"x25"x1.5" MASONRY PLATE)</t>
  </si>
  <si>
    <t>ELASTOMERIC BEARING WITH STEEL LAMINATES AND LOAD PLATE (NEOPRENE), AS PER PLAN  (16" DIAMETER x 4.33" TALL WITH</t>
  </si>
  <si>
    <t>17" DIAMETER x 1.5" LOAD PLATE AND 19"x25"x1.5" MASONRY PLATE)</t>
  </si>
  <si>
    <t>PATCHING CONCRETE BRIDGE DECK - TYPE B</t>
  </si>
  <si>
    <t>JACKING AND TEMPORARY SUPPORT OF SUPERSTRUCTURE, AS PER PLAN</t>
  </si>
  <si>
    <t>ELASTOMERIC STRIP SEAL WITHOUT STEEL EXTRUSIONS</t>
  </si>
  <si>
    <t>Intermediate Crossframes for Beams 1-3 &amp; Beams 9 - 11</t>
  </si>
  <si>
    <t>Intermediate Crossframes for Beams 3 - 9</t>
  </si>
  <si>
    <t>W30x108 Beam</t>
  </si>
  <si>
    <t>W30x116 Beam</t>
  </si>
  <si>
    <t>&amp; W21x147</t>
  </si>
  <si>
    <t>Ext. 3 Leg X-frame</t>
  </si>
  <si>
    <t>Rear Abutment End Crossframes for Beams 3 - 9</t>
  </si>
  <si>
    <t>Forward Abutment End Crossframes for Beams 3 - 9</t>
  </si>
  <si>
    <t>Beams 3 - 9</t>
  </si>
  <si>
    <t>L4x4x3/8</t>
  </si>
  <si>
    <t>W30x116  (10.5" Wide Flange)</t>
  </si>
  <si>
    <t>Rear &amp; Fwd. Interior End X-frame</t>
  </si>
  <si>
    <t>Rear &amp; Fwd. Exterior End X-frame</t>
  </si>
  <si>
    <t>Rear &amp; Forward Abutment End Crossframes Beams 1 - 3 &amp; &amp; 9 - 11</t>
  </si>
  <si>
    <t>Beams 1 - 3 &amp; &amp; 9 - 11</t>
  </si>
  <si>
    <t>8.17+(2*3.49)+(2*2.58)</t>
  </si>
  <si>
    <t>6.64+(2*3.97)</t>
  </si>
  <si>
    <t>ITEM 511 - CLASS QC2 CONCRETE, SUPERSTRUCTURE</t>
  </si>
  <si>
    <r>
      <t xml:space="preserve">Federal Color </t>
    </r>
    <r>
      <rPr>
        <b/>
        <strike/>
        <sz val="11"/>
        <color theme="1"/>
        <rFont val="Aptos Narrow"/>
        <family val="2"/>
        <scheme val="minor"/>
      </rPr>
      <t>14277 Green</t>
    </r>
    <r>
      <rPr>
        <b/>
        <sz val="11"/>
        <color theme="1"/>
        <rFont val="Aptos Narrow"/>
        <family val="2"/>
        <scheme val="minor"/>
      </rPr>
      <t xml:space="preserve">    15526 Lt. Blue</t>
    </r>
  </si>
  <si>
    <t>202</t>
  </si>
  <si>
    <t>VANDAL PROTECTION FENCE REMOVED AND RESET, AS PER PLAN</t>
  </si>
  <si>
    <t>BRIDGE RAILING REMOVED, AS PER PLAN</t>
  </si>
  <si>
    <t>RAILING, ALUMINUM, AS PER PLAN</t>
  </si>
  <si>
    <t>ITEM 512 - SEALING CONCRETE BRIDGE DECK WITH SRS</t>
  </si>
  <si>
    <t>ITEM 516 - ELASTOMERIC BEARING WITH INTERNAL LAMINATES AND LOAD PLATE, AS PER PLAN</t>
  </si>
  <si>
    <t>Parapets</t>
  </si>
  <si>
    <t>Rear Appraoch Slab</t>
  </si>
  <si>
    <t>Forward Appraoch Slab</t>
  </si>
  <si>
    <t>Forward Abutment - Top of Backwall</t>
  </si>
  <si>
    <t xml:space="preserve">Total Repair Area (Inc. 150% for unknowns) = </t>
  </si>
  <si>
    <t xml:space="preserve">Total Repair Area (Inc. 150% of unknowns) = </t>
  </si>
  <si>
    <t>TOTAL PARAPET LENGTH =</t>
  </si>
  <si>
    <t>LEFT REAR WINGWALL</t>
  </si>
  <si>
    <t>RIGHT REAR WINGWALL</t>
  </si>
  <si>
    <t>LEFT FORWARD WINGWALL</t>
  </si>
  <si>
    <t>RIGHT FORWARD WINGWALL</t>
  </si>
  <si>
    <t>SCUPPER, MISC: DEBRIS REMOVAL</t>
  </si>
  <si>
    <t>Forward Abutment End Crossframes  for Beams 1-5</t>
  </si>
  <si>
    <t>8.78+(2*4.07)+(2*3.19)</t>
  </si>
  <si>
    <t xml:space="preserve">Paint for 25 Bearings = </t>
  </si>
  <si>
    <t>Pier 2 Columns</t>
  </si>
  <si>
    <t>Pier 2 Cap</t>
  </si>
  <si>
    <t>ELASTOMERIC BEARING WITH STEEL LAMINATES AND LOAD PLATE (NEOPRENE), AS PER PLAN  (13"x13" x 2.77" TALL WITH</t>
  </si>
  <si>
    <t>14"x14"x 1.5" LOAD PLATE AND 14"x23"x1.5" MASONRY PLATE)</t>
  </si>
  <si>
    <t>ITEM 516 - ELASTOMERIC BEARING WITH STEEL LAMINATES AND LOAD PLATE (NEOPRENE), AS PER PLAN   (13"x13" x 2.77" TALL WITH 14"x14"x 1.5" LOAD PLATE AND 14"x23"x1.5" MASONRY PLATE)</t>
  </si>
  <si>
    <t>Pier 3 Columns</t>
  </si>
  <si>
    <t>Pier 3 Cap</t>
  </si>
  <si>
    <t>Pier 1 Columns</t>
  </si>
  <si>
    <t>PATCHING CONCRETE STRUCTURE, AS PER PLAN</t>
  </si>
  <si>
    <t>TREATING OF CONCRETE BRIDGE DECK WITH SRS</t>
  </si>
  <si>
    <t>PIER COLUMNS</t>
  </si>
  <si>
    <t># OF PIER COLUMNS =</t>
  </si>
  <si>
    <t>COLUMN DIAMETER =</t>
  </si>
  <si>
    <t>COLUMN PERIMETER =</t>
  </si>
  <si>
    <t>COLUMN AREA =</t>
  </si>
  <si>
    <t>COLUMN HEIGHT = Avg (11' + 18' + 27')</t>
  </si>
  <si>
    <t>ITEM 512 - TREATING CONCRETE BRIDGE DECK WITH SRS</t>
  </si>
  <si>
    <t>PIER CAP LENGTH</t>
  </si>
  <si>
    <t>COLUMN HEIGHT = Avg (16' + 15' + 13.5')</t>
  </si>
  <si>
    <t>Intermediate Crossframes for Beams 1-4 (At Dog Legged Beam Deflections)</t>
  </si>
  <si>
    <t>36" Beam</t>
  </si>
  <si>
    <t>Intermediate Crossframes for Beams 1-4</t>
  </si>
  <si>
    <t>Rear Abutment End Crossframes for Beams 1-4</t>
  </si>
  <si>
    <t>Int. 4 Leg X-frame</t>
  </si>
  <si>
    <t xml:space="preserve">Paint for 20 Bearings = </t>
  </si>
  <si>
    <t>ITEM 516 - ELASTOMERIC BEARING WITH STEEL LAMINATES AND LOAD PLATE (NEOPRENE), AS PER PLAN  (12" DIAMETER x 2.37" TALL WITH 14" DIAMETER x 1.5" LOAD PLATE AND 19.375"x19.125"x1.5" MASONRY PLATE)</t>
  </si>
  <si>
    <t xml:space="preserve"> 14" DIAMETER x 1.5" LOAD PLATE AND 19.375"x19.125"x1.5" MASONRY PLATE)</t>
  </si>
  <si>
    <t>Approach Slab</t>
  </si>
  <si>
    <t xml:space="preserve">Total Face Area = </t>
  </si>
  <si>
    <t xml:space="preserve">Depth = </t>
  </si>
  <si>
    <t>ITEM 519 - COMPOSITE FIBER WRAP</t>
  </si>
  <si>
    <t>COMPOSITE FIBER WRAP SYSTEM</t>
  </si>
  <si>
    <t xml:space="preserve"># OF PIER COLUMNS = </t>
  </si>
  <si>
    <t xml:space="preserve">PERIMETER = </t>
  </si>
  <si>
    <t>HEIGHT =</t>
  </si>
  <si>
    <t>WRAP TOPS OF SINGLE PIER COLUMNS</t>
  </si>
  <si>
    <t>WRAP PIER COLUMN REPAIR AREAS</t>
  </si>
  <si>
    <t>SEALING OF CONCRETE SURFACES (EPOXY-URETHANE), AS PER PLAN</t>
  </si>
  <si>
    <t>00100</t>
  </si>
  <si>
    <t>ITEM 844 - GALVANIC ANODE PROTECTION</t>
  </si>
  <si>
    <t xml:space="preserve">PIERS = </t>
  </si>
  <si>
    <t>ABUTMENTS =</t>
  </si>
  <si>
    <t xml:space="preserve">ROUND COLUMN PERIMETER = </t>
  </si>
  <si>
    <t xml:space="preserve">T' PIER COLUMN PERIMETER = </t>
  </si>
  <si>
    <t>PIER 2, COLUMN HEIGHT =</t>
  </si>
  <si>
    <t>PIER 3, COLUMN HEIGHT =</t>
  </si>
  <si>
    <t>PIER 1, COLUMN HEIGHT =</t>
  </si>
  <si>
    <t xml:space="preserve">Grand Total = </t>
  </si>
  <si>
    <t>29.25' RT +18.25' LT</t>
  </si>
  <si>
    <t>LEFT REAR WINGWALL=</t>
  </si>
  <si>
    <t>RIGHT REAR WINGWALL=</t>
  </si>
  <si>
    <t>74' LT + 35.25' RT</t>
  </si>
  <si>
    <t>150% Inc.=</t>
  </si>
  <si>
    <t xml:space="preserve">150% Inc = </t>
  </si>
  <si>
    <t>ITEM 844 - GALVANIC ANODES</t>
  </si>
  <si>
    <t>PIER 1</t>
  </si>
  <si>
    <t>PIER 2</t>
  </si>
  <si>
    <t>PIER 3</t>
  </si>
  <si>
    <t>Rear Abut</t>
  </si>
  <si>
    <t>Fwd Abut</t>
  </si>
  <si>
    <t>ELASTOMERIC BEARING WITH INTERNAL LAMINATES AND LOAD PLATE (NEOPRENE), AS PER PLAN  (12" DIAMETER x 2.37" TALL WITH</t>
  </si>
  <si>
    <t>(100%  01/NHS FUNDING)</t>
  </si>
  <si>
    <t>STRUCTURE REPAIR (HAM-126-1406) (SFN: 3104923)</t>
  </si>
  <si>
    <t>STRUCTURE REPAIR (HAM-126-1530) (SFN: 3104990)</t>
  </si>
  <si>
    <t>STRUCTURE REPAIR (HAM-126-1543) (SFN: 3105008)</t>
  </si>
  <si>
    <t>STRUCTURE REPAIR (HAM-126-1555) (SFN: 3105024)</t>
  </si>
  <si>
    <t>STRUCTURE REPAIR (HAM-126-1818) (SFN: 3105083)</t>
  </si>
  <si>
    <t>SEALING OF CONCRETE SURFACES (EPOXY-URETHANE)</t>
  </si>
  <si>
    <t>ITEM 202 - FILL AND PLUG EXISTING CONDUIT</t>
  </si>
  <si>
    <t>FILL AND PLUG EXISTING CONDUIT</t>
  </si>
  <si>
    <t xml:space="preserve">REAR ABUTMENT = </t>
  </si>
  <si>
    <t>ITEM 513 - STRUCTURAL STEEL, MISC.: REMOVE AND RE-ERECT CROSSFRAME MEMBERS</t>
  </si>
  <si>
    <t>STRUCTURAL STEEL, MISC.: REMOVE AND RE-ERECT CROSSFRAME MEMBERS</t>
  </si>
  <si>
    <t>DOWEL HOLES WITH NON-SHRINK, NON-METALLIC GROUT, AS PER PLAN</t>
  </si>
  <si>
    <t>STRUCTURAL STEEL, MISC.: WELD CRACKED EXPANSION JOINT ARMOR</t>
  </si>
  <si>
    <t>3 Conduits, 1'-9" thru abutment backwakk</t>
  </si>
  <si>
    <t>SEALING OF CONCRETE SURFACES (NON-EPOXY)</t>
  </si>
  <si>
    <t>ITEM 512 - SEALING OF CONCRETE SURFACES (EPOXY URETHANE)</t>
  </si>
  <si>
    <t>ITEM 512 - SEALING OF CONCRETE SURFACES (NON-EPOXY)</t>
  </si>
  <si>
    <t>BRIDGE DECK SIDEWALK</t>
  </si>
  <si>
    <t>BRIDGE DECK PARAPET</t>
  </si>
  <si>
    <t>APPROACH SLAB SIDEWALK</t>
  </si>
  <si>
    <t>APPROACH SLAB PARAPET</t>
  </si>
  <si>
    <t>Approach Slan Sidewalk PERIMETER =</t>
  </si>
  <si>
    <t>Approach Slab PARAPET PERIMETER =</t>
  </si>
  <si>
    <t>TOTAL=</t>
  </si>
  <si>
    <t>10050</t>
  </si>
  <si>
    <t>GALVANIC ANODE PROTECTION, AS PER PLAN</t>
  </si>
  <si>
    <t>(Apply to exterior face of parapet to cover concrete patches over vehicular lanes and shoulders)</t>
  </si>
  <si>
    <t>West Parapet</t>
  </si>
  <si>
    <t>East Parapet</t>
  </si>
  <si>
    <t>Deck Slab &amp; Sidewalks</t>
  </si>
  <si>
    <t># OF PIER COLUMNS</t>
  </si>
  <si>
    <t>LB</t>
  </si>
  <si>
    <t>STRUCTURAL STEEL MEMBERS, LEVEL UF</t>
  </si>
  <si>
    <t>ITEM 513 - STRUCTURAL STEEL MEMBERS, LEVEL UF</t>
  </si>
  <si>
    <t># OF BEARINGS =</t>
  </si>
  <si>
    <t xml:space="preserve">STEEL SOLE PLATE WEIGHT = </t>
  </si>
  <si>
    <t>STEEL HP10X42 WEIGHT =</t>
  </si>
  <si>
    <t xml:space="preserve">TOTAL WEIGHT = </t>
  </si>
  <si>
    <t xml:space="preserve"> (16" DIAMETER x 4.33" TALL WITH 17" DIAMETER x 1.5" LOAD PLATE AND 19"x25"x1.5" MASONRY PLATE)</t>
  </si>
  <si>
    <t>ELASTOMERIC BEARING WITH INTERNAL LAMINATES AND LOAD PLATE (NEOPRENE)</t>
  </si>
  <si>
    <t xml:space="preserve"> (16" DIAMETER x 3.63" WITH 17" DIAMETER x 1.5" LOAD PLATE AND 19"x25"x1.5" MASONRY PLATE)</t>
  </si>
  <si>
    <t>CONCRETE, MISC.: LEVELING BEARING SEAT</t>
  </si>
  <si>
    <t>ITEM 511 - CONCRETE, MISC.: LEVELING BEATING SEAT</t>
  </si>
  <si>
    <t># OF BEARING SEAT LOCATIONS =</t>
  </si>
  <si>
    <t>BRIDGE SIDEWALK</t>
  </si>
  <si>
    <t>BRIDGE SIDEWALK PERIMETER =</t>
  </si>
  <si>
    <t>BRIDGE DECK + APPR. SLAB LENGTH =</t>
  </si>
  <si>
    <t>SUPERSTRUCTURE TOTAL =</t>
  </si>
  <si>
    <t>ITEM 511 - CONCRETE, MISC.: LEVELING BEARING SEAT</t>
  </si>
  <si>
    <t xml:space="preserve">SUPERSTRUCTURE SEALING AREA = </t>
  </si>
  <si>
    <t>APPR. SLAB LENGTH =</t>
  </si>
  <si>
    <t>DECK SEPARATOR PARAPET PERIMETER =</t>
  </si>
  <si>
    <t>APPR. SLAB  SEPARATOR PARAPET PERIMETER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</si>
</sst>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0000"/>
  </numFmts>
  <fonts count="1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9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0" fillId="2" borderId="0" xfId="0" applyNumberFormat="1" applyFill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0" fontId="2" fillId="0" borderId="5" xfId="0" applyFont="1" applyBorder="1"/>
    <xf numFmtId="0" fontId="0" fillId="4" borderId="6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164" fontId="0" fillId="4" borderId="0" xfId="0" applyNumberFormat="1" applyFill="1"/>
    <xf numFmtId="0" fontId="0" fillId="4" borderId="9" xfId="0" applyFill="1" applyBorder="1"/>
    <xf numFmtId="2" fontId="0" fillId="4" borderId="0" xfId="0" applyNumberFormat="1" applyFill="1"/>
    <xf numFmtId="0" fontId="0" fillId="4" borderId="9" xfId="0" applyFill="1" applyBorder="1" applyAlignment="1">
      <alignment horizontal="left"/>
    </xf>
    <xf numFmtId="1" fontId="0" fillId="3" borderId="0" xfId="0" applyNumberFormat="1" applyFill="1"/>
    <xf numFmtId="0" fontId="0" fillId="0" borderId="0" xfId="0" applyAlignment="1">
      <alignment horizontal="center" wrapText="1"/>
    </xf>
    <xf numFmtId="0" fontId="0" fillId="4" borderId="3" xfId="0" applyFill="1" applyBorder="1"/>
    <xf numFmtId="0" fontId="0" fillId="4" borderId="4" xfId="0" applyFill="1" applyBorder="1"/>
    <xf numFmtId="0" fontId="2" fillId="4" borderId="4" xfId="0" applyFont="1" applyFill="1" applyBorder="1" applyAlignment="1">
      <alignment wrapText="1"/>
    </xf>
    <xf numFmtId="0" fontId="0" fillId="4" borderId="5" xfId="0" applyFill="1" applyBorder="1"/>
    <xf numFmtId="0" fontId="0" fillId="2" borderId="4" xfId="0" applyFill="1" applyBorder="1"/>
    <xf numFmtId="0" fontId="2" fillId="0" borderId="4" xfId="0" applyFont="1" applyBorder="1" applyAlignment="1">
      <alignment wrapText="1"/>
    </xf>
    <xf numFmtId="0" fontId="0" fillId="0" borderId="5" xfId="0" applyBorder="1"/>
    <xf numFmtId="1" fontId="0" fillId="2" borderId="2" xfId="0" applyNumberForma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2" xfId="0" applyNumberFormat="1" applyBorder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 vertical="center"/>
    </xf>
    <xf numFmtId="0" fontId="2" fillId="4" borderId="11" xfId="0" applyFont="1" applyFill="1" applyBorder="1"/>
    <xf numFmtId="0" fontId="0" fillId="4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/>
    <xf numFmtId="0" fontId="0" fillId="0" borderId="9" xfId="0" applyBorder="1" applyAlignment="1">
      <alignment horizontal="left"/>
    </xf>
    <xf numFmtId="0" fontId="0" fillId="4" borderId="1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2" fontId="0" fillId="0" borderId="11" xfId="0" applyNumberFormat="1" applyBorder="1"/>
    <xf numFmtId="165" fontId="0" fillId="4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2" borderId="1" xfId="0" applyFill="1" applyBorder="1"/>
    <xf numFmtId="165" fontId="0" fillId="4" borderId="0" xfId="0" applyNumberFormat="1" applyFill="1" applyAlignment="1">
      <alignment horizontal="right" vertical="center"/>
    </xf>
    <xf numFmtId="165" fontId="0" fillId="4" borderId="9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5" fontId="0" fillId="0" borderId="9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wrapText="1"/>
    </xf>
    <xf numFmtId="0" fontId="0" fillId="2" borderId="2" xfId="0" applyFill="1" applyBorder="1"/>
    <xf numFmtId="0" fontId="0" fillId="5" borderId="2" xfId="0" applyFill="1" applyBorder="1"/>
    <xf numFmtId="0" fontId="0" fillId="5" borderId="0" xfId="0" applyFill="1" applyAlignment="1">
      <alignment horizontal="center" vertical="center"/>
    </xf>
    <xf numFmtId="1" fontId="0" fillId="0" borderId="2" xfId="0" applyNumberFormat="1" applyBorder="1"/>
    <xf numFmtId="0" fontId="0" fillId="0" borderId="0" xfId="0" applyAlignment="1">
      <alignment horizontal="right"/>
    </xf>
    <xf numFmtId="0" fontId="0" fillId="5" borderId="0" xfId="0" applyFill="1"/>
    <xf numFmtId="1" fontId="0" fillId="6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64" fontId="0" fillId="5" borderId="0" xfId="0" applyNumberFormat="1" applyFill="1"/>
    <xf numFmtId="0" fontId="0" fillId="6" borderId="0" xfId="0" quotePrefix="1" applyFill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1" fontId="0" fillId="2" borderId="0" xfId="0" applyNumberForma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4" borderId="12" xfId="0" applyFont="1" applyFill="1" applyBorder="1"/>
    <xf numFmtId="0" fontId="2" fillId="0" borderId="12" xfId="0" applyFont="1" applyBorder="1"/>
    <xf numFmtId="0" fontId="2" fillId="0" borderId="11" xfId="0" applyFont="1" applyBorder="1"/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1" xfId="0" applyFont="1" applyBorder="1"/>
    <xf numFmtId="0" fontId="8" fillId="0" borderId="0" xfId="0" applyFont="1" applyAlignment="1">
      <alignment vertical="center" wrapText="1"/>
    </xf>
    <xf numFmtId="0" fontId="9" fillId="0" borderId="0" xfId="0" applyFont="1"/>
    <xf numFmtId="0" fontId="0" fillId="0" borderId="0" xfId="0" applyAlignment="1">
      <alignment vertical="top"/>
    </xf>
    <xf numFmtId="2" fontId="1" fillId="0" borderId="0" xfId="0" applyNumberFormat="1" applyFont="1"/>
    <xf numFmtId="0" fontId="10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0" borderId="26" xfId="0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0" fillId="0" borderId="34" xfId="0" quotePrefix="1" applyBorder="1" applyAlignment="1">
      <alignment horizontal="center"/>
    </xf>
    <xf numFmtId="49" fontId="15" fillId="0" borderId="35" xfId="1" applyNumberFormat="1" applyFon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3" fontId="0" fillId="0" borderId="2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13" fillId="0" borderId="3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3" xfId="0" applyBorder="1"/>
    <xf numFmtId="0" fontId="0" fillId="0" borderId="39" xfId="0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7" fillId="0" borderId="12" xfId="0" applyFont="1" applyBorder="1"/>
    <xf numFmtId="0" fontId="2" fillId="4" borderId="5" xfId="0" applyFont="1" applyFill="1" applyBorder="1"/>
    <xf numFmtId="0" fontId="2" fillId="4" borderId="4" xfId="0" applyFont="1" applyFill="1" applyBorder="1"/>
    <xf numFmtId="0" fontId="0" fillId="4" borderId="2" xfId="0" applyFill="1" applyBorder="1"/>
    <xf numFmtId="2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2" fontId="16" fillId="0" borderId="0" xfId="0" applyNumberFormat="1" applyFont="1"/>
    <xf numFmtId="49" fontId="0" fillId="0" borderId="35" xfId="0" applyNumberForma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3" fillId="0" borderId="1" xfId="0" applyFont="1" applyBorder="1"/>
    <xf numFmtId="0" fontId="17" fillId="0" borderId="0" xfId="0" applyFont="1"/>
    <xf numFmtId="0" fontId="16" fillId="0" borderId="0" xfId="0" applyFont="1"/>
    <xf numFmtId="0" fontId="0" fillId="0" borderId="13" xfId="0" quotePrefix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0" xfId="0" quotePrefix="1"/>
    <xf numFmtId="0" fontId="1" fillId="0" borderId="0" xfId="0" quotePrefix="1" applyFon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4" fillId="0" borderId="1" xfId="0" applyFont="1" applyBorder="1"/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0" fillId="4" borderId="9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2">
    <cellStyle name="Normal" xfId="0" builtinId="0"/>
    <cellStyle name="Normal 2" xfId="1" xr:uid="{5470CA8F-EB03-4863-9580-8ADFDEAAD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309</xdr:row>
      <xdr:rowOff>0</xdr:rowOff>
    </xdr:from>
    <xdr:to>
      <xdr:col>34</xdr:col>
      <xdr:colOff>9525</xdr:colOff>
      <xdr:row>313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3A8A8C2-3194-406D-A8FB-B59210207375}"/>
            </a:ext>
          </a:extLst>
        </xdr:cNvPr>
        <xdr:cNvCxnSpPr/>
      </xdr:nvCxnSpPr>
      <xdr:spPr>
        <a:xfrm>
          <a:off x="18907125" y="53911500"/>
          <a:ext cx="1828800" cy="781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309</xdr:row>
      <xdr:rowOff>0</xdr:rowOff>
    </xdr:from>
    <xdr:to>
      <xdr:col>34</xdr:col>
      <xdr:colOff>28575</xdr:colOff>
      <xdr:row>313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C105ACB-4BCD-4E00-866E-65D66E10666B}"/>
            </a:ext>
          </a:extLst>
        </xdr:cNvPr>
        <xdr:cNvCxnSpPr/>
      </xdr:nvCxnSpPr>
      <xdr:spPr>
        <a:xfrm flipV="1">
          <a:off x="18907125" y="53911500"/>
          <a:ext cx="1847850" cy="781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313</xdr:row>
      <xdr:rowOff>47625</xdr:rowOff>
    </xdr:from>
    <xdr:to>
      <xdr:col>34</xdr:col>
      <xdr:colOff>0</xdr:colOff>
      <xdr:row>313</xdr:row>
      <xdr:rowOff>57150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C670578-8290-434B-992B-9B2B0B7E4620}"/>
            </a:ext>
          </a:extLst>
        </xdr:cNvPr>
        <xdr:cNvCxnSpPr/>
      </xdr:nvCxnSpPr>
      <xdr:spPr>
        <a:xfrm flipH="1" flipV="1">
          <a:off x="18897600" y="54721125"/>
          <a:ext cx="18288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514349</xdr:colOff>
      <xdr:row>310</xdr:row>
      <xdr:rowOff>57150</xdr:rowOff>
    </xdr:from>
    <xdr:to>
      <xdr:col>39</xdr:col>
      <xdr:colOff>495299</xdr:colOff>
      <xdr:row>314</xdr:row>
      <xdr:rowOff>152399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FCEA416C-E4BF-44C8-9B37-177855E135A9}"/>
            </a:ext>
          </a:extLst>
        </xdr:cNvPr>
        <xdr:cNvSpPr/>
      </xdr:nvSpPr>
      <xdr:spPr>
        <a:xfrm flipH="1">
          <a:off x="31537274" y="54359175"/>
          <a:ext cx="590550" cy="8191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39</xdr:col>
      <xdr:colOff>506731</xdr:colOff>
      <xdr:row>310</xdr:row>
      <xdr:rowOff>62865</xdr:rowOff>
    </xdr:from>
    <xdr:to>
      <xdr:col>40</xdr:col>
      <xdr:colOff>76201</xdr:colOff>
      <xdr:row>314</xdr:row>
      <xdr:rowOff>152400</xdr:rowOff>
    </xdr:to>
    <xdr:sp macro="" textlink="">
      <xdr:nvSpPr>
        <xdr:cNvPr id="6" name="Right Triangle 5">
          <a:extLst>
            <a:ext uri="{FF2B5EF4-FFF2-40B4-BE49-F238E27FC236}">
              <a16:creationId xmlns:a16="http://schemas.microsoft.com/office/drawing/2014/main" id="{4B755DD8-0E39-4A52-A695-BA9BFD8323EA}"/>
            </a:ext>
          </a:extLst>
        </xdr:cNvPr>
        <xdr:cNvSpPr/>
      </xdr:nvSpPr>
      <xdr:spPr>
        <a:xfrm>
          <a:off x="32139256" y="54364890"/>
          <a:ext cx="560070" cy="81343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49</xdr:col>
      <xdr:colOff>219075</xdr:colOff>
      <xdr:row>310</xdr:row>
      <xdr:rowOff>57150</xdr:rowOff>
    </xdr:from>
    <xdr:to>
      <xdr:col>51</xdr:col>
      <xdr:colOff>47625</xdr:colOff>
      <xdr:row>314</xdr:row>
      <xdr:rowOff>152399</xdr:rowOff>
    </xdr:to>
    <xdr:sp macro="" textlink="">
      <xdr:nvSpPr>
        <xdr:cNvPr id="9" name="Right Triangle 8">
          <a:extLst>
            <a:ext uri="{FF2B5EF4-FFF2-40B4-BE49-F238E27FC236}">
              <a16:creationId xmlns:a16="http://schemas.microsoft.com/office/drawing/2014/main" id="{A50BD398-73CD-4DC1-BC52-2002AA665F42}"/>
            </a:ext>
          </a:extLst>
        </xdr:cNvPr>
        <xdr:cNvSpPr/>
      </xdr:nvSpPr>
      <xdr:spPr>
        <a:xfrm flipH="1">
          <a:off x="30089475" y="54159150"/>
          <a:ext cx="1047750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51</xdr:col>
      <xdr:colOff>38100</xdr:colOff>
      <xdr:row>310</xdr:row>
      <xdr:rowOff>66675</xdr:rowOff>
    </xdr:from>
    <xdr:to>
      <xdr:col>52</xdr:col>
      <xdr:colOff>85725</xdr:colOff>
      <xdr:row>314</xdr:row>
      <xdr:rowOff>152400</xdr:rowOff>
    </xdr:to>
    <xdr:sp macro="" textlink="">
      <xdr:nvSpPr>
        <xdr:cNvPr id="10" name="Right Triangle 9">
          <a:extLst>
            <a:ext uri="{FF2B5EF4-FFF2-40B4-BE49-F238E27FC236}">
              <a16:creationId xmlns:a16="http://schemas.microsoft.com/office/drawing/2014/main" id="{401762F6-1ED0-48B4-91F7-AF5A08E55836}"/>
            </a:ext>
          </a:extLst>
        </xdr:cNvPr>
        <xdr:cNvSpPr/>
      </xdr:nvSpPr>
      <xdr:spPr>
        <a:xfrm>
          <a:off x="31127700" y="54168675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53</xdr:col>
      <xdr:colOff>152400</xdr:colOff>
      <xdr:row>310</xdr:row>
      <xdr:rowOff>66675</xdr:rowOff>
    </xdr:from>
    <xdr:to>
      <xdr:col>55</xdr:col>
      <xdr:colOff>257175</xdr:colOff>
      <xdr:row>314</xdr:row>
      <xdr:rowOff>161924</xdr:rowOff>
    </xdr:to>
    <xdr:sp macro="" textlink="">
      <xdr:nvSpPr>
        <xdr:cNvPr id="11" name="Right Triangle 10">
          <a:extLst>
            <a:ext uri="{FF2B5EF4-FFF2-40B4-BE49-F238E27FC236}">
              <a16:creationId xmlns:a16="http://schemas.microsoft.com/office/drawing/2014/main" id="{46862409-9C7A-474B-B6A7-A0C77598BB26}"/>
            </a:ext>
          </a:extLst>
        </xdr:cNvPr>
        <xdr:cNvSpPr/>
      </xdr:nvSpPr>
      <xdr:spPr>
        <a:xfrm>
          <a:off x="32461200" y="54168675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52</xdr:col>
      <xdr:colOff>95250</xdr:colOff>
      <xdr:row>310</xdr:row>
      <xdr:rowOff>66675</xdr:rowOff>
    </xdr:from>
    <xdr:to>
      <xdr:col>53</xdr:col>
      <xdr:colOff>142875</xdr:colOff>
      <xdr:row>314</xdr:row>
      <xdr:rowOff>152400</xdr:rowOff>
    </xdr:to>
    <xdr:sp macro="" textlink="">
      <xdr:nvSpPr>
        <xdr:cNvPr id="12" name="Right Triangle 11">
          <a:extLst>
            <a:ext uri="{FF2B5EF4-FFF2-40B4-BE49-F238E27FC236}">
              <a16:creationId xmlns:a16="http://schemas.microsoft.com/office/drawing/2014/main" id="{CC0B9B1F-6156-477E-83EB-24BE4863947E}"/>
            </a:ext>
          </a:extLst>
        </xdr:cNvPr>
        <xdr:cNvSpPr/>
      </xdr:nvSpPr>
      <xdr:spPr>
        <a:xfrm flipH="1">
          <a:off x="31794450" y="54168675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60</xdr:col>
      <xdr:colOff>219075</xdr:colOff>
      <xdr:row>310</xdr:row>
      <xdr:rowOff>57150</xdr:rowOff>
    </xdr:from>
    <xdr:to>
      <xdr:col>62</xdr:col>
      <xdr:colOff>47625</xdr:colOff>
      <xdr:row>314</xdr:row>
      <xdr:rowOff>152399</xdr:rowOff>
    </xdr:to>
    <xdr:sp macro="" textlink="">
      <xdr:nvSpPr>
        <xdr:cNvPr id="13" name="Right Triangle 12">
          <a:extLst>
            <a:ext uri="{FF2B5EF4-FFF2-40B4-BE49-F238E27FC236}">
              <a16:creationId xmlns:a16="http://schemas.microsoft.com/office/drawing/2014/main" id="{B79E39C0-41BD-4B03-9D4C-A1F91C1C3641}"/>
            </a:ext>
          </a:extLst>
        </xdr:cNvPr>
        <xdr:cNvSpPr/>
      </xdr:nvSpPr>
      <xdr:spPr>
        <a:xfrm flipH="1">
          <a:off x="36795075" y="54159150"/>
          <a:ext cx="1047750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38100</xdr:colOff>
      <xdr:row>310</xdr:row>
      <xdr:rowOff>66675</xdr:rowOff>
    </xdr:from>
    <xdr:to>
      <xdr:col>63</xdr:col>
      <xdr:colOff>85725</xdr:colOff>
      <xdr:row>314</xdr:row>
      <xdr:rowOff>152400</xdr:rowOff>
    </xdr:to>
    <xdr:sp macro="" textlink="">
      <xdr:nvSpPr>
        <xdr:cNvPr id="14" name="Right Triangle 13">
          <a:extLst>
            <a:ext uri="{FF2B5EF4-FFF2-40B4-BE49-F238E27FC236}">
              <a16:creationId xmlns:a16="http://schemas.microsoft.com/office/drawing/2014/main" id="{0D86A424-27EE-4498-8631-948B3ADE6D9C}"/>
            </a:ext>
          </a:extLst>
        </xdr:cNvPr>
        <xdr:cNvSpPr/>
      </xdr:nvSpPr>
      <xdr:spPr>
        <a:xfrm>
          <a:off x="37833300" y="54168675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152400</xdr:colOff>
      <xdr:row>310</xdr:row>
      <xdr:rowOff>66675</xdr:rowOff>
    </xdr:from>
    <xdr:to>
      <xdr:col>66</xdr:col>
      <xdr:colOff>257175</xdr:colOff>
      <xdr:row>314</xdr:row>
      <xdr:rowOff>161924</xdr:rowOff>
    </xdr:to>
    <xdr:sp macro="" textlink="">
      <xdr:nvSpPr>
        <xdr:cNvPr id="15" name="Right Triangle 14">
          <a:extLst>
            <a:ext uri="{FF2B5EF4-FFF2-40B4-BE49-F238E27FC236}">
              <a16:creationId xmlns:a16="http://schemas.microsoft.com/office/drawing/2014/main" id="{BD45F5AC-EC46-4DF9-B61E-23E1094B0D19}"/>
            </a:ext>
          </a:extLst>
        </xdr:cNvPr>
        <xdr:cNvSpPr/>
      </xdr:nvSpPr>
      <xdr:spPr>
        <a:xfrm>
          <a:off x="39166800" y="54168675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95250</xdr:colOff>
      <xdr:row>310</xdr:row>
      <xdr:rowOff>66675</xdr:rowOff>
    </xdr:from>
    <xdr:to>
      <xdr:col>64</xdr:col>
      <xdr:colOff>142875</xdr:colOff>
      <xdr:row>314</xdr:row>
      <xdr:rowOff>152400</xdr:rowOff>
    </xdr:to>
    <xdr:sp macro="" textlink="">
      <xdr:nvSpPr>
        <xdr:cNvPr id="16" name="Right Triangle 15">
          <a:extLst>
            <a:ext uri="{FF2B5EF4-FFF2-40B4-BE49-F238E27FC236}">
              <a16:creationId xmlns:a16="http://schemas.microsoft.com/office/drawing/2014/main" id="{11344F75-03A0-471C-92CF-36B7059A3D00}"/>
            </a:ext>
          </a:extLst>
        </xdr:cNvPr>
        <xdr:cNvSpPr/>
      </xdr:nvSpPr>
      <xdr:spPr>
        <a:xfrm flipH="1">
          <a:off x="38500050" y="54168675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95250</xdr:colOff>
      <xdr:row>310</xdr:row>
      <xdr:rowOff>76200</xdr:rowOff>
    </xdr:from>
    <xdr:to>
      <xdr:col>63</xdr:col>
      <xdr:colOff>104775</xdr:colOff>
      <xdr:row>314</xdr:row>
      <xdr:rowOff>152400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1BC4EF8-7EA4-48A0-BF67-12544F3D5B34}"/>
            </a:ext>
          </a:extLst>
        </xdr:cNvPr>
        <xdr:cNvCxnSpPr>
          <a:stCxn id="16" idx="4"/>
        </xdr:cNvCxnSpPr>
      </xdr:nvCxnSpPr>
      <xdr:spPr>
        <a:xfrm flipV="1">
          <a:off x="38500050" y="54178200"/>
          <a:ext cx="9525" cy="838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331</xdr:row>
      <xdr:rowOff>0</xdr:rowOff>
    </xdr:from>
    <xdr:to>
      <xdr:col>34</xdr:col>
      <xdr:colOff>9525</xdr:colOff>
      <xdr:row>335</xdr:row>
      <xdr:rowOff>19050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8EFBB38C-D932-4EF9-ADE7-8369F0D8216D}"/>
            </a:ext>
          </a:extLst>
        </xdr:cNvPr>
        <xdr:cNvCxnSpPr/>
      </xdr:nvCxnSpPr>
      <xdr:spPr>
        <a:xfrm>
          <a:off x="18907125" y="58102500"/>
          <a:ext cx="1828800" cy="781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331</xdr:row>
      <xdr:rowOff>0</xdr:rowOff>
    </xdr:from>
    <xdr:to>
      <xdr:col>34</xdr:col>
      <xdr:colOff>28575</xdr:colOff>
      <xdr:row>335</xdr:row>
      <xdr:rowOff>19050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EBBFFE04-06A4-45E4-9EBA-863CF1A48551}"/>
            </a:ext>
          </a:extLst>
        </xdr:cNvPr>
        <xdr:cNvCxnSpPr/>
      </xdr:nvCxnSpPr>
      <xdr:spPr>
        <a:xfrm flipV="1">
          <a:off x="18907125" y="58102500"/>
          <a:ext cx="1847850" cy="781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335</xdr:row>
      <xdr:rowOff>47625</xdr:rowOff>
    </xdr:from>
    <xdr:to>
      <xdr:col>34</xdr:col>
      <xdr:colOff>0</xdr:colOff>
      <xdr:row>335</xdr:row>
      <xdr:rowOff>57150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BEB438EB-7A39-457B-81F3-1B83D163FD39}"/>
            </a:ext>
          </a:extLst>
        </xdr:cNvPr>
        <xdr:cNvCxnSpPr/>
      </xdr:nvCxnSpPr>
      <xdr:spPr>
        <a:xfrm flipH="1" flipV="1">
          <a:off x="18897600" y="58912125"/>
          <a:ext cx="18288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76200</xdr:colOff>
      <xdr:row>310</xdr:row>
      <xdr:rowOff>57150</xdr:rowOff>
    </xdr:from>
    <xdr:to>
      <xdr:col>41</xdr:col>
      <xdr:colOff>57150</xdr:colOff>
      <xdr:row>314</xdr:row>
      <xdr:rowOff>152399</xdr:rowOff>
    </xdr:to>
    <xdr:sp macro="" textlink="">
      <xdr:nvSpPr>
        <xdr:cNvPr id="21" name="Right Triangle 20">
          <a:extLst>
            <a:ext uri="{FF2B5EF4-FFF2-40B4-BE49-F238E27FC236}">
              <a16:creationId xmlns:a16="http://schemas.microsoft.com/office/drawing/2014/main" id="{DAB28FD1-CF9B-4A28-A68F-D8F14C657679}"/>
            </a:ext>
          </a:extLst>
        </xdr:cNvPr>
        <xdr:cNvSpPr/>
      </xdr:nvSpPr>
      <xdr:spPr>
        <a:xfrm flipH="1">
          <a:off x="32699325" y="54359175"/>
          <a:ext cx="590550" cy="8191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41</xdr:col>
      <xdr:colOff>66677</xdr:colOff>
      <xdr:row>310</xdr:row>
      <xdr:rowOff>64770</xdr:rowOff>
    </xdr:from>
    <xdr:to>
      <xdr:col>42</xdr:col>
      <xdr:colOff>19052</xdr:colOff>
      <xdr:row>314</xdr:row>
      <xdr:rowOff>152400</xdr:rowOff>
    </xdr:to>
    <xdr:sp macro="" textlink="">
      <xdr:nvSpPr>
        <xdr:cNvPr id="22" name="Right Triangle 21">
          <a:extLst>
            <a:ext uri="{FF2B5EF4-FFF2-40B4-BE49-F238E27FC236}">
              <a16:creationId xmlns:a16="http://schemas.microsoft.com/office/drawing/2014/main" id="{E7BA352A-DBB4-4D85-A403-C9CDC573172B}"/>
            </a:ext>
          </a:extLst>
        </xdr:cNvPr>
        <xdr:cNvSpPr/>
      </xdr:nvSpPr>
      <xdr:spPr>
        <a:xfrm>
          <a:off x="33299402" y="54366795"/>
          <a:ext cx="561975" cy="811530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42</xdr:col>
      <xdr:colOff>28575</xdr:colOff>
      <xdr:row>310</xdr:row>
      <xdr:rowOff>57150</xdr:rowOff>
    </xdr:from>
    <xdr:to>
      <xdr:col>43</xdr:col>
      <xdr:colOff>9525</xdr:colOff>
      <xdr:row>314</xdr:row>
      <xdr:rowOff>152399</xdr:rowOff>
    </xdr:to>
    <xdr:sp macro="" textlink="">
      <xdr:nvSpPr>
        <xdr:cNvPr id="23" name="Right Triangle 22">
          <a:extLst>
            <a:ext uri="{FF2B5EF4-FFF2-40B4-BE49-F238E27FC236}">
              <a16:creationId xmlns:a16="http://schemas.microsoft.com/office/drawing/2014/main" id="{E8B8EB67-3386-43BB-ADD5-58308F33E424}"/>
            </a:ext>
          </a:extLst>
        </xdr:cNvPr>
        <xdr:cNvSpPr/>
      </xdr:nvSpPr>
      <xdr:spPr>
        <a:xfrm flipH="1">
          <a:off x="33870900" y="54359175"/>
          <a:ext cx="590550" cy="8191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43</xdr:col>
      <xdr:colOff>19052</xdr:colOff>
      <xdr:row>310</xdr:row>
      <xdr:rowOff>64770</xdr:rowOff>
    </xdr:from>
    <xdr:to>
      <xdr:col>43</xdr:col>
      <xdr:colOff>581027</xdr:colOff>
      <xdr:row>314</xdr:row>
      <xdr:rowOff>152400</xdr:rowOff>
    </xdr:to>
    <xdr:sp macro="" textlink="">
      <xdr:nvSpPr>
        <xdr:cNvPr id="24" name="Right Triangle 23">
          <a:extLst>
            <a:ext uri="{FF2B5EF4-FFF2-40B4-BE49-F238E27FC236}">
              <a16:creationId xmlns:a16="http://schemas.microsoft.com/office/drawing/2014/main" id="{20F1C19F-01E3-45A4-A2AC-C7576D9BC5B9}"/>
            </a:ext>
          </a:extLst>
        </xdr:cNvPr>
        <xdr:cNvSpPr/>
      </xdr:nvSpPr>
      <xdr:spPr>
        <a:xfrm>
          <a:off x="34470977" y="54366795"/>
          <a:ext cx="561975" cy="811530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42</xdr:col>
      <xdr:colOff>28575</xdr:colOff>
      <xdr:row>310</xdr:row>
      <xdr:rowOff>57150</xdr:rowOff>
    </xdr:from>
    <xdr:to>
      <xdr:col>43</xdr:col>
      <xdr:colOff>5715</xdr:colOff>
      <xdr:row>314</xdr:row>
      <xdr:rowOff>156209</xdr:rowOff>
    </xdr:to>
    <xdr:sp macro="" textlink="">
      <xdr:nvSpPr>
        <xdr:cNvPr id="25" name="Right Triangle 24">
          <a:extLst>
            <a:ext uri="{FF2B5EF4-FFF2-40B4-BE49-F238E27FC236}">
              <a16:creationId xmlns:a16="http://schemas.microsoft.com/office/drawing/2014/main" id="{10F7B962-260F-4890-B8BD-5E984D9D1666}"/>
            </a:ext>
          </a:extLst>
        </xdr:cNvPr>
        <xdr:cNvSpPr/>
      </xdr:nvSpPr>
      <xdr:spPr>
        <a:xfrm flipH="1">
          <a:off x="33870900" y="54359175"/>
          <a:ext cx="586740" cy="82295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43</xdr:col>
      <xdr:colOff>20957</xdr:colOff>
      <xdr:row>310</xdr:row>
      <xdr:rowOff>62865</xdr:rowOff>
    </xdr:from>
    <xdr:to>
      <xdr:col>43</xdr:col>
      <xdr:colOff>577217</xdr:colOff>
      <xdr:row>314</xdr:row>
      <xdr:rowOff>156210</xdr:rowOff>
    </xdr:to>
    <xdr:sp macro="" textlink="">
      <xdr:nvSpPr>
        <xdr:cNvPr id="26" name="Right Triangle 25">
          <a:extLst>
            <a:ext uri="{FF2B5EF4-FFF2-40B4-BE49-F238E27FC236}">
              <a16:creationId xmlns:a16="http://schemas.microsoft.com/office/drawing/2014/main" id="{F09A5210-79E7-4FFB-8EB6-F2E80B2CA5AF}"/>
            </a:ext>
          </a:extLst>
        </xdr:cNvPr>
        <xdr:cNvSpPr/>
      </xdr:nvSpPr>
      <xdr:spPr>
        <a:xfrm>
          <a:off x="34472882" y="54364890"/>
          <a:ext cx="556260" cy="81724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43</xdr:col>
      <xdr:colOff>590550</xdr:colOff>
      <xdr:row>310</xdr:row>
      <xdr:rowOff>66675</xdr:rowOff>
    </xdr:from>
    <xdr:to>
      <xdr:col>44</xdr:col>
      <xdr:colOff>567690</xdr:colOff>
      <xdr:row>314</xdr:row>
      <xdr:rowOff>165734</xdr:rowOff>
    </xdr:to>
    <xdr:sp macro="" textlink="">
      <xdr:nvSpPr>
        <xdr:cNvPr id="27" name="Right Triangle 26">
          <a:extLst>
            <a:ext uri="{FF2B5EF4-FFF2-40B4-BE49-F238E27FC236}">
              <a16:creationId xmlns:a16="http://schemas.microsoft.com/office/drawing/2014/main" id="{A68D2D6F-E443-4A1F-A33D-9A24B817F9B1}"/>
            </a:ext>
          </a:extLst>
        </xdr:cNvPr>
        <xdr:cNvSpPr/>
      </xdr:nvSpPr>
      <xdr:spPr>
        <a:xfrm flipH="1">
          <a:off x="35042475" y="54368700"/>
          <a:ext cx="586740" cy="82295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44</xdr:col>
      <xdr:colOff>579122</xdr:colOff>
      <xdr:row>310</xdr:row>
      <xdr:rowOff>74295</xdr:rowOff>
    </xdr:from>
    <xdr:to>
      <xdr:col>45</xdr:col>
      <xdr:colOff>529592</xdr:colOff>
      <xdr:row>314</xdr:row>
      <xdr:rowOff>169545</xdr:rowOff>
    </xdr:to>
    <xdr:sp macro="" textlink="">
      <xdr:nvSpPr>
        <xdr:cNvPr id="28" name="Right Triangle 27">
          <a:extLst>
            <a:ext uri="{FF2B5EF4-FFF2-40B4-BE49-F238E27FC236}">
              <a16:creationId xmlns:a16="http://schemas.microsoft.com/office/drawing/2014/main" id="{038427D0-FE4F-456B-BE87-B513A5ED06EF}"/>
            </a:ext>
          </a:extLst>
        </xdr:cNvPr>
        <xdr:cNvSpPr/>
      </xdr:nvSpPr>
      <xdr:spPr>
        <a:xfrm>
          <a:off x="35640647" y="54376320"/>
          <a:ext cx="560070" cy="819150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39</xdr:col>
      <xdr:colOff>685800</xdr:colOff>
      <xdr:row>277</xdr:row>
      <xdr:rowOff>0</xdr:rowOff>
    </xdr:from>
    <xdr:to>
      <xdr:col>50</xdr:col>
      <xdr:colOff>587345</xdr:colOff>
      <xdr:row>301</xdr:row>
      <xdr:rowOff>358487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3E665E-67CC-84AE-7584-8C85DB014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18325" y="46053375"/>
          <a:ext cx="6982430" cy="40122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349</xdr:row>
      <xdr:rowOff>0</xdr:rowOff>
    </xdr:from>
    <xdr:to>
      <xdr:col>34</xdr:col>
      <xdr:colOff>9525</xdr:colOff>
      <xdr:row>353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093A433-7BF3-4E6E-BE84-3763E5F70036}"/>
            </a:ext>
          </a:extLst>
        </xdr:cNvPr>
        <xdr:cNvCxnSpPr/>
      </xdr:nvCxnSpPr>
      <xdr:spPr>
        <a:xfrm>
          <a:off x="25946100" y="56454675"/>
          <a:ext cx="1952625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349</xdr:row>
      <xdr:rowOff>0</xdr:rowOff>
    </xdr:from>
    <xdr:to>
      <xdr:col>34</xdr:col>
      <xdr:colOff>28575</xdr:colOff>
      <xdr:row>353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E75A50A-28E6-48FC-958A-132A8EA51CA7}"/>
            </a:ext>
          </a:extLst>
        </xdr:cNvPr>
        <xdr:cNvCxnSpPr/>
      </xdr:nvCxnSpPr>
      <xdr:spPr>
        <a:xfrm flipV="1">
          <a:off x="25946100" y="56454675"/>
          <a:ext cx="1971675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353</xdr:row>
      <xdr:rowOff>47625</xdr:rowOff>
    </xdr:from>
    <xdr:to>
      <xdr:col>34</xdr:col>
      <xdr:colOff>0</xdr:colOff>
      <xdr:row>353</xdr:row>
      <xdr:rowOff>57150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009DFDF-97CC-4205-944C-570A667B68A4}"/>
            </a:ext>
          </a:extLst>
        </xdr:cNvPr>
        <xdr:cNvCxnSpPr/>
      </xdr:nvCxnSpPr>
      <xdr:spPr>
        <a:xfrm flipH="1" flipV="1">
          <a:off x="25784175" y="57645300"/>
          <a:ext cx="2105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219075</xdr:colOff>
      <xdr:row>350</xdr:row>
      <xdr:rowOff>57150</xdr:rowOff>
    </xdr:from>
    <xdr:to>
      <xdr:col>40</xdr:col>
      <xdr:colOff>47625</xdr:colOff>
      <xdr:row>354</xdr:row>
      <xdr:rowOff>152399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17D8EEC2-5680-43E0-9A5B-F477E56E51D9}"/>
            </a:ext>
          </a:extLst>
        </xdr:cNvPr>
        <xdr:cNvSpPr/>
      </xdr:nvSpPr>
      <xdr:spPr>
        <a:xfrm flipH="1">
          <a:off x="30546675" y="57083325"/>
          <a:ext cx="14001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38100</xdr:colOff>
      <xdr:row>350</xdr:row>
      <xdr:rowOff>66675</xdr:rowOff>
    </xdr:from>
    <xdr:to>
      <xdr:col>41</xdr:col>
      <xdr:colOff>85725</xdr:colOff>
      <xdr:row>354</xdr:row>
      <xdr:rowOff>152400</xdr:rowOff>
    </xdr:to>
    <xdr:sp macro="" textlink="">
      <xdr:nvSpPr>
        <xdr:cNvPr id="6" name="Right Triangle 5">
          <a:extLst>
            <a:ext uri="{FF2B5EF4-FFF2-40B4-BE49-F238E27FC236}">
              <a16:creationId xmlns:a16="http://schemas.microsoft.com/office/drawing/2014/main" id="{BAAC7138-EA1F-441C-BFD1-530D0E782C7B}"/>
            </a:ext>
          </a:extLst>
        </xdr:cNvPr>
        <xdr:cNvSpPr/>
      </xdr:nvSpPr>
      <xdr:spPr>
        <a:xfrm>
          <a:off x="31937325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42</xdr:col>
      <xdr:colOff>152400</xdr:colOff>
      <xdr:row>350</xdr:row>
      <xdr:rowOff>66675</xdr:rowOff>
    </xdr:from>
    <xdr:to>
      <xdr:col>44</xdr:col>
      <xdr:colOff>257175</xdr:colOff>
      <xdr:row>354</xdr:row>
      <xdr:rowOff>161924</xdr:rowOff>
    </xdr:to>
    <xdr:sp macro="" textlink="">
      <xdr:nvSpPr>
        <xdr:cNvPr id="7" name="Right Triangle 6">
          <a:extLst>
            <a:ext uri="{FF2B5EF4-FFF2-40B4-BE49-F238E27FC236}">
              <a16:creationId xmlns:a16="http://schemas.microsoft.com/office/drawing/2014/main" id="{F71BB18F-EA6F-424D-8441-52B71C2D4176}"/>
            </a:ext>
          </a:extLst>
        </xdr:cNvPr>
        <xdr:cNvSpPr/>
      </xdr:nvSpPr>
      <xdr:spPr>
        <a:xfrm>
          <a:off x="33270825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41</xdr:col>
      <xdr:colOff>95250</xdr:colOff>
      <xdr:row>350</xdr:row>
      <xdr:rowOff>66675</xdr:rowOff>
    </xdr:from>
    <xdr:to>
      <xdr:col>42</xdr:col>
      <xdr:colOff>142875</xdr:colOff>
      <xdr:row>354</xdr:row>
      <xdr:rowOff>152400</xdr:rowOff>
    </xdr:to>
    <xdr:sp macro="" textlink="">
      <xdr:nvSpPr>
        <xdr:cNvPr id="8" name="Right Triangle 7">
          <a:extLst>
            <a:ext uri="{FF2B5EF4-FFF2-40B4-BE49-F238E27FC236}">
              <a16:creationId xmlns:a16="http://schemas.microsoft.com/office/drawing/2014/main" id="{C085A049-7FD6-4B02-94C4-358AD07978AD}"/>
            </a:ext>
          </a:extLst>
        </xdr:cNvPr>
        <xdr:cNvSpPr/>
      </xdr:nvSpPr>
      <xdr:spPr>
        <a:xfrm flipH="1">
          <a:off x="32604075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49</xdr:col>
      <xdr:colOff>219075</xdr:colOff>
      <xdr:row>350</xdr:row>
      <xdr:rowOff>57150</xdr:rowOff>
    </xdr:from>
    <xdr:to>
      <xdr:col>51</xdr:col>
      <xdr:colOff>47625</xdr:colOff>
      <xdr:row>354</xdr:row>
      <xdr:rowOff>152399</xdr:rowOff>
    </xdr:to>
    <xdr:sp macro="" textlink="">
      <xdr:nvSpPr>
        <xdr:cNvPr id="9" name="Right Triangle 8">
          <a:extLst>
            <a:ext uri="{FF2B5EF4-FFF2-40B4-BE49-F238E27FC236}">
              <a16:creationId xmlns:a16="http://schemas.microsoft.com/office/drawing/2014/main" id="{2C4E39ED-225E-4B09-BAED-BDA26315C74C}"/>
            </a:ext>
          </a:extLst>
        </xdr:cNvPr>
        <xdr:cNvSpPr/>
      </xdr:nvSpPr>
      <xdr:spPr>
        <a:xfrm flipH="1">
          <a:off x="37604700" y="57083325"/>
          <a:ext cx="15906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51</xdr:col>
      <xdr:colOff>38100</xdr:colOff>
      <xdr:row>350</xdr:row>
      <xdr:rowOff>66675</xdr:rowOff>
    </xdr:from>
    <xdr:to>
      <xdr:col>52</xdr:col>
      <xdr:colOff>85725</xdr:colOff>
      <xdr:row>354</xdr:row>
      <xdr:rowOff>152400</xdr:rowOff>
    </xdr:to>
    <xdr:sp macro="" textlink="">
      <xdr:nvSpPr>
        <xdr:cNvPr id="10" name="Right Triangle 9">
          <a:extLst>
            <a:ext uri="{FF2B5EF4-FFF2-40B4-BE49-F238E27FC236}">
              <a16:creationId xmlns:a16="http://schemas.microsoft.com/office/drawing/2014/main" id="{20C752BF-6F53-4E3C-A256-4069B0B0F347}"/>
            </a:ext>
          </a:extLst>
        </xdr:cNvPr>
        <xdr:cNvSpPr/>
      </xdr:nvSpPr>
      <xdr:spPr>
        <a:xfrm>
          <a:off x="3918585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53</xdr:col>
      <xdr:colOff>152400</xdr:colOff>
      <xdr:row>350</xdr:row>
      <xdr:rowOff>66675</xdr:rowOff>
    </xdr:from>
    <xdr:to>
      <xdr:col>55</xdr:col>
      <xdr:colOff>257175</xdr:colOff>
      <xdr:row>354</xdr:row>
      <xdr:rowOff>161924</xdr:rowOff>
    </xdr:to>
    <xdr:sp macro="" textlink="">
      <xdr:nvSpPr>
        <xdr:cNvPr id="11" name="Right Triangle 10">
          <a:extLst>
            <a:ext uri="{FF2B5EF4-FFF2-40B4-BE49-F238E27FC236}">
              <a16:creationId xmlns:a16="http://schemas.microsoft.com/office/drawing/2014/main" id="{35E40048-1A00-475C-89B8-D75FC52B897E}"/>
            </a:ext>
          </a:extLst>
        </xdr:cNvPr>
        <xdr:cNvSpPr/>
      </xdr:nvSpPr>
      <xdr:spPr>
        <a:xfrm>
          <a:off x="40519350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52</xdr:col>
      <xdr:colOff>95250</xdr:colOff>
      <xdr:row>350</xdr:row>
      <xdr:rowOff>66675</xdr:rowOff>
    </xdr:from>
    <xdr:to>
      <xdr:col>53</xdr:col>
      <xdr:colOff>142875</xdr:colOff>
      <xdr:row>354</xdr:row>
      <xdr:rowOff>152400</xdr:rowOff>
    </xdr:to>
    <xdr:sp macro="" textlink="">
      <xdr:nvSpPr>
        <xdr:cNvPr id="12" name="Right Triangle 11">
          <a:extLst>
            <a:ext uri="{FF2B5EF4-FFF2-40B4-BE49-F238E27FC236}">
              <a16:creationId xmlns:a16="http://schemas.microsoft.com/office/drawing/2014/main" id="{83CF170D-98AB-497B-BF54-F07859AF8C59}"/>
            </a:ext>
          </a:extLst>
        </xdr:cNvPr>
        <xdr:cNvSpPr/>
      </xdr:nvSpPr>
      <xdr:spPr>
        <a:xfrm flipH="1">
          <a:off x="3985260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60</xdr:col>
      <xdr:colOff>219075</xdr:colOff>
      <xdr:row>350</xdr:row>
      <xdr:rowOff>57150</xdr:rowOff>
    </xdr:from>
    <xdr:to>
      <xdr:col>62</xdr:col>
      <xdr:colOff>47625</xdr:colOff>
      <xdr:row>354</xdr:row>
      <xdr:rowOff>152399</xdr:rowOff>
    </xdr:to>
    <xdr:sp macro="" textlink="">
      <xdr:nvSpPr>
        <xdr:cNvPr id="13" name="Right Triangle 12">
          <a:extLst>
            <a:ext uri="{FF2B5EF4-FFF2-40B4-BE49-F238E27FC236}">
              <a16:creationId xmlns:a16="http://schemas.microsoft.com/office/drawing/2014/main" id="{D58075E7-5ED1-4D47-B01A-4AF3D240426F}"/>
            </a:ext>
          </a:extLst>
        </xdr:cNvPr>
        <xdr:cNvSpPr/>
      </xdr:nvSpPr>
      <xdr:spPr>
        <a:xfrm flipH="1">
          <a:off x="44853225" y="57083325"/>
          <a:ext cx="1543050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38100</xdr:colOff>
      <xdr:row>350</xdr:row>
      <xdr:rowOff>66675</xdr:rowOff>
    </xdr:from>
    <xdr:to>
      <xdr:col>63</xdr:col>
      <xdr:colOff>85725</xdr:colOff>
      <xdr:row>354</xdr:row>
      <xdr:rowOff>152400</xdr:rowOff>
    </xdr:to>
    <xdr:sp macro="" textlink="">
      <xdr:nvSpPr>
        <xdr:cNvPr id="14" name="Right Triangle 13">
          <a:extLst>
            <a:ext uri="{FF2B5EF4-FFF2-40B4-BE49-F238E27FC236}">
              <a16:creationId xmlns:a16="http://schemas.microsoft.com/office/drawing/2014/main" id="{6E7235F8-F0A6-49BE-B467-62B372A05347}"/>
            </a:ext>
          </a:extLst>
        </xdr:cNvPr>
        <xdr:cNvSpPr/>
      </xdr:nvSpPr>
      <xdr:spPr>
        <a:xfrm>
          <a:off x="4638675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152400</xdr:colOff>
      <xdr:row>350</xdr:row>
      <xdr:rowOff>66675</xdr:rowOff>
    </xdr:from>
    <xdr:to>
      <xdr:col>66</xdr:col>
      <xdr:colOff>257175</xdr:colOff>
      <xdr:row>354</xdr:row>
      <xdr:rowOff>161924</xdr:rowOff>
    </xdr:to>
    <xdr:sp macro="" textlink="">
      <xdr:nvSpPr>
        <xdr:cNvPr id="15" name="Right Triangle 14">
          <a:extLst>
            <a:ext uri="{FF2B5EF4-FFF2-40B4-BE49-F238E27FC236}">
              <a16:creationId xmlns:a16="http://schemas.microsoft.com/office/drawing/2014/main" id="{5E3FCCD6-67FC-4195-BE44-5A198DAE5963}"/>
            </a:ext>
          </a:extLst>
        </xdr:cNvPr>
        <xdr:cNvSpPr/>
      </xdr:nvSpPr>
      <xdr:spPr>
        <a:xfrm>
          <a:off x="47720250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95250</xdr:colOff>
      <xdr:row>350</xdr:row>
      <xdr:rowOff>66675</xdr:rowOff>
    </xdr:from>
    <xdr:to>
      <xdr:col>64</xdr:col>
      <xdr:colOff>142875</xdr:colOff>
      <xdr:row>354</xdr:row>
      <xdr:rowOff>152400</xdr:rowOff>
    </xdr:to>
    <xdr:sp macro="" textlink="">
      <xdr:nvSpPr>
        <xdr:cNvPr id="16" name="Right Triangle 15">
          <a:extLst>
            <a:ext uri="{FF2B5EF4-FFF2-40B4-BE49-F238E27FC236}">
              <a16:creationId xmlns:a16="http://schemas.microsoft.com/office/drawing/2014/main" id="{C0A709D3-F644-455B-A443-C5C10A74ECFE}"/>
            </a:ext>
          </a:extLst>
        </xdr:cNvPr>
        <xdr:cNvSpPr/>
      </xdr:nvSpPr>
      <xdr:spPr>
        <a:xfrm flipH="1">
          <a:off x="4705350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95250</xdr:colOff>
      <xdr:row>350</xdr:row>
      <xdr:rowOff>76200</xdr:rowOff>
    </xdr:from>
    <xdr:to>
      <xdr:col>63</xdr:col>
      <xdr:colOff>104775</xdr:colOff>
      <xdr:row>354</xdr:row>
      <xdr:rowOff>152400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391035B3-EBC6-4CA7-9649-C072600A93C5}"/>
            </a:ext>
          </a:extLst>
        </xdr:cNvPr>
        <xdr:cNvCxnSpPr>
          <a:stCxn id="16" idx="4"/>
        </xdr:cNvCxnSpPr>
      </xdr:nvCxnSpPr>
      <xdr:spPr>
        <a:xfrm flipV="1">
          <a:off x="47053500" y="57102375"/>
          <a:ext cx="9525" cy="838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371</xdr:row>
      <xdr:rowOff>0</xdr:rowOff>
    </xdr:from>
    <xdr:to>
      <xdr:col>34</xdr:col>
      <xdr:colOff>9525</xdr:colOff>
      <xdr:row>375</xdr:row>
      <xdr:rowOff>19050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9681AD53-955A-4DA3-940C-1B7772EA5B86}"/>
            </a:ext>
          </a:extLst>
        </xdr:cNvPr>
        <xdr:cNvCxnSpPr/>
      </xdr:nvCxnSpPr>
      <xdr:spPr>
        <a:xfrm>
          <a:off x="25946100" y="61064775"/>
          <a:ext cx="1952625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371</xdr:row>
      <xdr:rowOff>0</xdr:rowOff>
    </xdr:from>
    <xdr:to>
      <xdr:col>34</xdr:col>
      <xdr:colOff>28575</xdr:colOff>
      <xdr:row>375</xdr:row>
      <xdr:rowOff>19050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F26FB97A-4EB4-4622-8250-D8EAD12EC66F}"/>
            </a:ext>
          </a:extLst>
        </xdr:cNvPr>
        <xdr:cNvCxnSpPr/>
      </xdr:nvCxnSpPr>
      <xdr:spPr>
        <a:xfrm flipV="1">
          <a:off x="25946100" y="61064775"/>
          <a:ext cx="1971675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375</xdr:row>
      <xdr:rowOff>47625</xdr:rowOff>
    </xdr:from>
    <xdr:to>
      <xdr:col>34</xdr:col>
      <xdr:colOff>0</xdr:colOff>
      <xdr:row>375</xdr:row>
      <xdr:rowOff>57150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24013846-4E65-4579-8094-D50447FAF288}"/>
            </a:ext>
          </a:extLst>
        </xdr:cNvPr>
        <xdr:cNvCxnSpPr/>
      </xdr:nvCxnSpPr>
      <xdr:spPr>
        <a:xfrm flipH="1" flipV="1">
          <a:off x="25784175" y="61912500"/>
          <a:ext cx="2105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307</xdr:row>
      <xdr:rowOff>0</xdr:rowOff>
    </xdr:from>
    <xdr:to>
      <xdr:col>34</xdr:col>
      <xdr:colOff>9525</xdr:colOff>
      <xdr:row>311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A257E45-E25D-4B37-A455-ECAEDA255B72}"/>
            </a:ext>
          </a:extLst>
        </xdr:cNvPr>
        <xdr:cNvCxnSpPr/>
      </xdr:nvCxnSpPr>
      <xdr:spPr>
        <a:xfrm>
          <a:off x="25946100" y="56454675"/>
          <a:ext cx="1952625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307</xdr:row>
      <xdr:rowOff>0</xdr:rowOff>
    </xdr:from>
    <xdr:to>
      <xdr:col>34</xdr:col>
      <xdr:colOff>28575</xdr:colOff>
      <xdr:row>311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E6033EC-DBCB-4C65-BD82-828E9EFC2109}"/>
            </a:ext>
          </a:extLst>
        </xdr:cNvPr>
        <xdr:cNvCxnSpPr/>
      </xdr:nvCxnSpPr>
      <xdr:spPr>
        <a:xfrm flipV="1">
          <a:off x="25946100" y="56454675"/>
          <a:ext cx="1971675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311</xdr:row>
      <xdr:rowOff>47625</xdr:rowOff>
    </xdr:from>
    <xdr:to>
      <xdr:col>34</xdr:col>
      <xdr:colOff>0</xdr:colOff>
      <xdr:row>311</xdr:row>
      <xdr:rowOff>57150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92D5CF3-4F07-4869-B930-111A9DFA62BC}"/>
            </a:ext>
          </a:extLst>
        </xdr:cNvPr>
        <xdr:cNvCxnSpPr/>
      </xdr:nvCxnSpPr>
      <xdr:spPr>
        <a:xfrm flipH="1" flipV="1">
          <a:off x="25784175" y="57645300"/>
          <a:ext cx="2105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219075</xdr:colOff>
      <xdr:row>308</xdr:row>
      <xdr:rowOff>57150</xdr:rowOff>
    </xdr:from>
    <xdr:to>
      <xdr:col>40</xdr:col>
      <xdr:colOff>47625</xdr:colOff>
      <xdr:row>312</xdr:row>
      <xdr:rowOff>152399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64F26700-8375-42DC-9CFA-F3A95EF65AE4}"/>
            </a:ext>
          </a:extLst>
        </xdr:cNvPr>
        <xdr:cNvSpPr/>
      </xdr:nvSpPr>
      <xdr:spPr>
        <a:xfrm flipH="1">
          <a:off x="30546675" y="57083325"/>
          <a:ext cx="14001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38100</xdr:colOff>
      <xdr:row>308</xdr:row>
      <xdr:rowOff>66675</xdr:rowOff>
    </xdr:from>
    <xdr:to>
      <xdr:col>41</xdr:col>
      <xdr:colOff>85725</xdr:colOff>
      <xdr:row>312</xdr:row>
      <xdr:rowOff>152400</xdr:rowOff>
    </xdr:to>
    <xdr:sp macro="" textlink="">
      <xdr:nvSpPr>
        <xdr:cNvPr id="6" name="Right Triangle 5">
          <a:extLst>
            <a:ext uri="{FF2B5EF4-FFF2-40B4-BE49-F238E27FC236}">
              <a16:creationId xmlns:a16="http://schemas.microsoft.com/office/drawing/2014/main" id="{19536DEC-CC99-48B4-8E6C-E7976C63F810}"/>
            </a:ext>
          </a:extLst>
        </xdr:cNvPr>
        <xdr:cNvSpPr/>
      </xdr:nvSpPr>
      <xdr:spPr>
        <a:xfrm>
          <a:off x="31937325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42</xdr:col>
      <xdr:colOff>152400</xdr:colOff>
      <xdr:row>308</xdr:row>
      <xdr:rowOff>66675</xdr:rowOff>
    </xdr:from>
    <xdr:to>
      <xdr:col>44</xdr:col>
      <xdr:colOff>257175</xdr:colOff>
      <xdr:row>312</xdr:row>
      <xdr:rowOff>161924</xdr:rowOff>
    </xdr:to>
    <xdr:sp macro="" textlink="">
      <xdr:nvSpPr>
        <xdr:cNvPr id="7" name="Right Triangle 6">
          <a:extLst>
            <a:ext uri="{FF2B5EF4-FFF2-40B4-BE49-F238E27FC236}">
              <a16:creationId xmlns:a16="http://schemas.microsoft.com/office/drawing/2014/main" id="{8E3D05D6-C67B-4F6D-B44C-BA89A29CD25A}"/>
            </a:ext>
          </a:extLst>
        </xdr:cNvPr>
        <xdr:cNvSpPr/>
      </xdr:nvSpPr>
      <xdr:spPr>
        <a:xfrm>
          <a:off x="33270825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41</xdr:col>
      <xdr:colOff>95250</xdr:colOff>
      <xdr:row>308</xdr:row>
      <xdr:rowOff>66675</xdr:rowOff>
    </xdr:from>
    <xdr:to>
      <xdr:col>42</xdr:col>
      <xdr:colOff>142875</xdr:colOff>
      <xdr:row>312</xdr:row>
      <xdr:rowOff>152400</xdr:rowOff>
    </xdr:to>
    <xdr:sp macro="" textlink="">
      <xdr:nvSpPr>
        <xdr:cNvPr id="8" name="Right Triangle 7">
          <a:extLst>
            <a:ext uri="{FF2B5EF4-FFF2-40B4-BE49-F238E27FC236}">
              <a16:creationId xmlns:a16="http://schemas.microsoft.com/office/drawing/2014/main" id="{61EFFFBC-6789-4BB8-847C-2D144163A5F8}"/>
            </a:ext>
          </a:extLst>
        </xdr:cNvPr>
        <xdr:cNvSpPr/>
      </xdr:nvSpPr>
      <xdr:spPr>
        <a:xfrm flipH="1">
          <a:off x="32604075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49</xdr:col>
      <xdr:colOff>219075</xdr:colOff>
      <xdr:row>308</xdr:row>
      <xdr:rowOff>57150</xdr:rowOff>
    </xdr:from>
    <xdr:to>
      <xdr:col>51</xdr:col>
      <xdr:colOff>47625</xdr:colOff>
      <xdr:row>312</xdr:row>
      <xdr:rowOff>152399</xdr:rowOff>
    </xdr:to>
    <xdr:sp macro="" textlink="">
      <xdr:nvSpPr>
        <xdr:cNvPr id="9" name="Right Triangle 8">
          <a:extLst>
            <a:ext uri="{FF2B5EF4-FFF2-40B4-BE49-F238E27FC236}">
              <a16:creationId xmlns:a16="http://schemas.microsoft.com/office/drawing/2014/main" id="{356AFE5C-E0E7-4CE6-B1AC-12DD9D1E1843}"/>
            </a:ext>
          </a:extLst>
        </xdr:cNvPr>
        <xdr:cNvSpPr/>
      </xdr:nvSpPr>
      <xdr:spPr>
        <a:xfrm flipH="1">
          <a:off x="37604700" y="57083325"/>
          <a:ext cx="15906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51</xdr:col>
      <xdr:colOff>38100</xdr:colOff>
      <xdr:row>308</xdr:row>
      <xdr:rowOff>66675</xdr:rowOff>
    </xdr:from>
    <xdr:to>
      <xdr:col>52</xdr:col>
      <xdr:colOff>85725</xdr:colOff>
      <xdr:row>312</xdr:row>
      <xdr:rowOff>152400</xdr:rowOff>
    </xdr:to>
    <xdr:sp macro="" textlink="">
      <xdr:nvSpPr>
        <xdr:cNvPr id="10" name="Right Triangle 9">
          <a:extLst>
            <a:ext uri="{FF2B5EF4-FFF2-40B4-BE49-F238E27FC236}">
              <a16:creationId xmlns:a16="http://schemas.microsoft.com/office/drawing/2014/main" id="{35A1AC52-CF9B-4362-AE32-23FB202CA756}"/>
            </a:ext>
          </a:extLst>
        </xdr:cNvPr>
        <xdr:cNvSpPr/>
      </xdr:nvSpPr>
      <xdr:spPr>
        <a:xfrm>
          <a:off x="3918585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53</xdr:col>
      <xdr:colOff>152400</xdr:colOff>
      <xdr:row>308</xdr:row>
      <xdr:rowOff>66675</xdr:rowOff>
    </xdr:from>
    <xdr:to>
      <xdr:col>55</xdr:col>
      <xdr:colOff>257175</xdr:colOff>
      <xdr:row>312</xdr:row>
      <xdr:rowOff>161924</xdr:rowOff>
    </xdr:to>
    <xdr:sp macro="" textlink="">
      <xdr:nvSpPr>
        <xdr:cNvPr id="11" name="Right Triangle 10">
          <a:extLst>
            <a:ext uri="{FF2B5EF4-FFF2-40B4-BE49-F238E27FC236}">
              <a16:creationId xmlns:a16="http://schemas.microsoft.com/office/drawing/2014/main" id="{7772B81C-E5D4-4E8F-9590-A23B4C09AE74}"/>
            </a:ext>
          </a:extLst>
        </xdr:cNvPr>
        <xdr:cNvSpPr/>
      </xdr:nvSpPr>
      <xdr:spPr>
        <a:xfrm>
          <a:off x="40519350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52</xdr:col>
      <xdr:colOff>95250</xdr:colOff>
      <xdr:row>308</xdr:row>
      <xdr:rowOff>66675</xdr:rowOff>
    </xdr:from>
    <xdr:to>
      <xdr:col>53</xdr:col>
      <xdr:colOff>142875</xdr:colOff>
      <xdr:row>312</xdr:row>
      <xdr:rowOff>152400</xdr:rowOff>
    </xdr:to>
    <xdr:sp macro="" textlink="">
      <xdr:nvSpPr>
        <xdr:cNvPr id="12" name="Right Triangle 11">
          <a:extLst>
            <a:ext uri="{FF2B5EF4-FFF2-40B4-BE49-F238E27FC236}">
              <a16:creationId xmlns:a16="http://schemas.microsoft.com/office/drawing/2014/main" id="{14E052EF-9410-43C1-BAC3-B4074D7B8D09}"/>
            </a:ext>
          </a:extLst>
        </xdr:cNvPr>
        <xdr:cNvSpPr/>
      </xdr:nvSpPr>
      <xdr:spPr>
        <a:xfrm flipH="1">
          <a:off x="3985260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60</xdr:col>
      <xdr:colOff>219075</xdr:colOff>
      <xdr:row>308</xdr:row>
      <xdr:rowOff>57150</xdr:rowOff>
    </xdr:from>
    <xdr:to>
      <xdr:col>62</xdr:col>
      <xdr:colOff>47625</xdr:colOff>
      <xdr:row>312</xdr:row>
      <xdr:rowOff>152399</xdr:rowOff>
    </xdr:to>
    <xdr:sp macro="" textlink="">
      <xdr:nvSpPr>
        <xdr:cNvPr id="13" name="Right Triangle 12">
          <a:extLst>
            <a:ext uri="{FF2B5EF4-FFF2-40B4-BE49-F238E27FC236}">
              <a16:creationId xmlns:a16="http://schemas.microsoft.com/office/drawing/2014/main" id="{CB3632FE-F04E-41C1-BDB3-8FF4060C9500}"/>
            </a:ext>
          </a:extLst>
        </xdr:cNvPr>
        <xdr:cNvSpPr/>
      </xdr:nvSpPr>
      <xdr:spPr>
        <a:xfrm flipH="1">
          <a:off x="44853225" y="57083325"/>
          <a:ext cx="1543050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38100</xdr:colOff>
      <xdr:row>308</xdr:row>
      <xdr:rowOff>66675</xdr:rowOff>
    </xdr:from>
    <xdr:to>
      <xdr:col>63</xdr:col>
      <xdr:colOff>85725</xdr:colOff>
      <xdr:row>312</xdr:row>
      <xdr:rowOff>152400</xdr:rowOff>
    </xdr:to>
    <xdr:sp macro="" textlink="">
      <xdr:nvSpPr>
        <xdr:cNvPr id="14" name="Right Triangle 13">
          <a:extLst>
            <a:ext uri="{FF2B5EF4-FFF2-40B4-BE49-F238E27FC236}">
              <a16:creationId xmlns:a16="http://schemas.microsoft.com/office/drawing/2014/main" id="{93508107-824A-4DE9-9927-BECAFB9AB708}"/>
            </a:ext>
          </a:extLst>
        </xdr:cNvPr>
        <xdr:cNvSpPr/>
      </xdr:nvSpPr>
      <xdr:spPr>
        <a:xfrm>
          <a:off x="4638675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152400</xdr:colOff>
      <xdr:row>308</xdr:row>
      <xdr:rowOff>66675</xdr:rowOff>
    </xdr:from>
    <xdr:to>
      <xdr:col>66</xdr:col>
      <xdr:colOff>257175</xdr:colOff>
      <xdr:row>312</xdr:row>
      <xdr:rowOff>161924</xdr:rowOff>
    </xdr:to>
    <xdr:sp macro="" textlink="">
      <xdr:nvSpPr>
        <xdr:cNvPr id="15" name="Right Triangle 14">
          <a:extLst>
            <a:ext uri="{FF2B5EF4-FFF2-40B4-BE49-F238E27FC236}">
              <a16:creationId xmlns:a16="http://schemas.microsoft.com/office/drawing/2014/main" id="{1E4ED1F3-6D68-4F02-B3BE-C38361D04760}"/>
            </a:ext>
          </a:extLst>
        </xdr:cNvPr>
        <xdr:cNvSpPr/>
      </xdr:nvSpPr>
      <xdr:spPr>
        <a:xfrm>
          <a:off x="47720250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95250</xdr:colOff>
      <xdr:row>308</xdr:row>
      <xdr:rowOff>66675</xdr:rowOff>
    </xdr:from>
    <xdr:to>
      <xdr:col>64</xdr:col>
      <xdr:colOff>142875</xdr:colOff>
      <xdr:row>312</xdr:row>
      <xdr:rowOff>152400</xdr:rowOff>
    </xdr:to>
    <xdr:sp macro="" textlink="">
      <xdr:nvSpPr>
        <xdr:cNvPr id="16" name="Right Triangle 15">
          <a:extLst>
            <a:ext uri="{FF2B5EF4-FFF2-40B4-BE49-F238E27FC236}">
              <a16:creationId xmlns:a16="http://schemas.microsoft.com/office/drawing/2014/main" id="{CEB7D281-B4D7-412D-B24C-27A0C67EA19C}"/>
            </a:ext>
          </a:extLst>
        </xdr:cNvPr>
        <xdr:cNvSpPr/>
      </xdr:nvSpPr>
      <xdr:spPr>
        <a:xfrm flipH="1">
          <a:off x="4705350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95250</xdr:colOff>
      <xdr:row>308</xdr:row>
      <xdr:rowOff>76200</xdr:rowOff>
    </xdr:from>
    <xdr:to>
      <xdr:col>63</xdr:col>
      <xdr:colOff>104775</xdr:colOff>
      <xdr:row>312</xdr:row>
      <xdr:rowOff>152400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9CF57990-2185-4231-BF4A-521C8CD03A32}"/>
            </a:ext>
          </a:extLst>
        </xdr:cNvPr>
        <xdr:cNvCxnSpPr>
          <a:stCxn id="16" idx="4"/>
        </xdr:cNvCxnSpPr>
      </xdr:nvCxnSpPr>
      <xdr:spPr>
        <a:xfrm flipV="1">
          <a:off x="47053500" y="57102375"/>
          <a:ext cx="9525" cy="838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329</xdr:row>
      <xdr:rowOff>0</xdr:rowOff>
    </xdr:from>
    <xdr:to>
      <xdr:col>34</xdr:col>
      <xdr:colOff>9525</xdr:colOff>
      <xdr:row>333</xdr:row>
      <xdr:rowOff>19050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3CE09D09-9983-471D-AE4C-F765D554594C}"/>
            </a:ext>
          </a:extLst>
        </xdr:cNvPr>
        <xdr:cNvCxnSpPr/>
      </xdr:nvCxnSpPr>
      <xdr:spPr>
        <a:xfrm>
          <a:off x="25946100" y="61064775"/>
          <a:ext cx="1952625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329</xdr:row>
      <xdr:rowOff>0</xdr:rowOff>
    </xdr:from>
    <xdr:to>
      <xdr:col>34</xdr:col>
      <xdr:colOff>28575</xdr:colOff>
      <xdr:row>333</xdr:row>
      <xdr:rowOff>19050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39205A6-B6B1-48CE-A1AF-4AFE18B31D46}"/>
            </a:ext>
          </a:extLst>
        </xdr:cNvPr>
        <xdr:cNvCxnSpPr/>
      </xdr:nvCxnSpPr>
      <xdr:spPr>
        <a:xfrm flipV="1">
          <a:off x="25946100" y="61064775"/>
          <a:ext cx="1971675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333</xdr:row>
      <xdr:rowOff>47625</xdr:rowOff>
    </xdr:from>
    <xdr:to>
      <xdr:col>34</xdr:col>
      <xdr:colOff>0</xdr:colOff>
      <xdr:row>333</xdr:row>
      <xdr:rowOff>57150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D99E471A-B783-4BA1-B7AE-1281CB284FBE}"/>
            </a:ext>
          </a:extLst>
        </xdr:cNvPr>
        <xdr:cNvCxnSpPr/>
      </xdr:nvCxnSpPr>
      <xdr:spPr>
        <a:xfrm flipH="1" flipV="1">
          <a:off x="25784175" y="61912500"/>
          <a:ext cx="2105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866775</xdr:colOff>
      <xdr:row>328</xdr:row>
      <xdr:rowOff>133350</xdr:rowOff>
    </xdr:from>
    <xdr:to>
      <xdr:col>34</xdr:col>
      <xdr:colOff>123825</xdr:colOff>
      <xdr:row>328</xdr:row>
      <xdr:rowOff>139065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6D6E11C1-4D2E-48DA-90EA-433798A660EF}"/>
            </a:ext>
          </a:extLst>
        </xdr:cNvPr>
        <xdr:cNvCxnSpPr/>
      </xdr:nvCxnSpPr>
      <xdr:spPr>
        <a:xfrm flipH="1" flipV="1">
          <a:off x="26555700" y="60074175"/>
          <a:ext cx="2152650" cy="57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303</xdr:row>
      <xdr:rowOff>0</xdr:rowOff>
    </xdr:from>
    <xdr:to>
      <xdr:col>34</xdr:col>
      <xdr:colOff>9525</xdr:colOff>
      <xdr:row>307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8D803F0-182B-42E6-A5E2-41DAC66DEB75}"/>
            </a:ext>
          </a:extLst>
        </xdr:cNvPr>
        <xdr:cNvCxnSpPr/>
      </xdr:nvCxnSpPr>
      <xdr:spPr>
        <a:xfrm>
          <a:off x="25946100" y="56454675"/>
          <a:ext cx="1952625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303</xdr:row>
      <xdr:rowOff>0</xdr:rowOff>
    </xdr:from>
    <xdr:to>
      <xdr:col>34</xdr:col>
      <xdr:colOff>28575</xdr:colOff>
      <xdr:row>307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EFFCF90-BCC7-46EA-A15D-2AC5995F044E}"/>
            </a:ext>
          </a:extLst>
        </xdr:cNvPr>
        <xdr:cNvCxnSpPr/>
      </xdr:nvCxnSpPr>
      <xdr:spPr>
        <a:xfrm flipV="1">
          <a:off x="25946100" y="56454675"/>
          <a:ext cx="1971675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307</xdr:row>
      <xdr:rowOff>47625</xdr:rowOff>
    </xdr:from>
    <xdr:to>
      <xdr:col>34</xdr:col>
      <xdr:colOff>0</xdr:colOff>
      <xdr:row>307</xdr:row>
      <xdr:rowOff>57150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9F70B3-4AE3-4A74-96C6-153E545374CE}"/>
            </a:ext>
          </a:extLst>
        </xdr:cNvPr>
        <xdr:cNvCxnSpPr/>
      </xdr:nvCxnSpPr>
      <xdr:spPr>
        <a:xfrm flipH="1" flipV="1">
          <a:off x="25784175" y="57645300"/>
          <a:ext cx="2105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219075</xdr:colOff>
      <xdr:row>304</xdr:row>
      <xdr:rowOff>57150</xdr:rowOff>
    </xdr:from>
    <xdr:to>
      <xdr:col>40</xdr:col>
      <xdr:colOff>47625</xdr:colOff>
      <xdr:row>308</xdr:row>
      <xdr:rowOff>152399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3ECC2A48-3EB0-494C-8C86-CD19B1D2CF0F}"/>
            </a:ext>
          </a:extLst>
        </xdr:cNvPr>
        <xdr:cNvSpPr/>
      </xdr:nvSpPr>
      <xdr:spPr>
        <a:xfrm flipH="1">
          <a:off x="30546675" y="57083325"/>
          <a:ext cx="14001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38100</xdr:colOff>
      <xdr:row>304</xdr:row>
      <xdr:rowOff>66675</xdr:rowOff>
    </xdr:from>
    <xdr:to>
      <xdr:col>41</xdr:col>
      <xdr:colOff>85725</xdr:colOff>
      <xdr:row>308</xdr:row>
      <xdr:rowOff>152400</xdr:rowOff>
    </xdr:to>
    <xdr:sp macro="" textlink="">
      <xdr:nvSpPr>
        <xdr:cNvPr id="6" name="Right Triangle 5">
          <a:extLst>
            <a:ext uri="{FF2B5EF4-FFF2-40B4-BE49-F238E27FC236}">
              <a16:creationId xmlns:a16="http://schemas.microsoft.com/office/drawing/2014/main" id="{1F94D280-D35F-4412-869B-E0C58F6983D4}"/>
            </a:ext>
          </a:extLst>
        </xdr:cNvPr>
        <xdr:cNvSpPr/>
      </xdr:nvSpPr>
      <xdr:spPr>
        <a:xfrm>
          <a:off x="31937325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42</xdr:col>
      <xdr:colOff>152400</xdr:colOff>
      <xdr:row>304</xdr:row>
      <xdr:rowOff>66675</xdr:rowOff>
    </xdr:from>
    <xdr:to>
      <xdr:col>44</xdr:col>
      <xdr:colOff>257175</xdr:colOff>
      <xdr:row>308</xdr:row>
      <xdr:rowOff>161924</xdr:rowOff>
    </xdr:to>
    <xdr:sp macro="" textlink="">
      <xdr:nvSpPr>
        <xdr:cNvPr id="7" name="Right Triangle 6">
          <a:extLst>
            <a:ext uri="{FF2B5EF4-FFF2-40B4-BE49-F238E27FC236}">
              <a16:creationId xmlns:a16="http://schemas.microsoft.com/office/drawing/2014/main" id="{3D52AD98-D317-4288-B7AF-CA73A8BA7DA1}"/>
            </a:ext>
          </a:extLst>
        </xdr:cNvPr>
        <xdr:cNvSpPr/>
      </xdr:nvSpPr>
      <xdr:spPr>
        <a:xfrm>
          <a:off x="33270825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41</xdr:col>
      <xdr:colOff>95250</xdr:colOff>
      <xdr:row>304</xdr:row>
      <xdr:rowOff>66675</xdr:rowOff>
    </xdr:from>
    <xdr:to>
      <xdr:col>42</xdr:col>
      <xdr:colOff>142875</xdr:colOff>
      <xdr:row>308</xdr:row>
      <xdr:rowOff>152400</xdr:rowOff>
    </xdr:to>
    <xdr:sp macro="" textlink="">
      <xdr:nvSpPr>
        <xdr:cNvPr id="8" name="Right Triangle 7">
          <a:extLst>
            <a:ext uri="{FF2B5EF4-FFF2-40B4-BE49-F238E27FC236}">
              <a16:creationId xmlns:a16="http://schemas.microsoft.com/office/drawing/2014/main" id="{D0CF0DF9-B98B-4939-AE92-2D6681C6695C}"/>
            </a:ext>
          </a:extLst>
        </xdr:cNvPr>
        <xdr:cNvSpPr/>
      </xdr:nvSpPr>
      <xdr:spPr>
        <a:xfrm flipH="1">
          <a:off x="32604075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49</xdr:col>
      <xdr:colOff>219075</xdr:colOff>
      <xdr:row>304</xdr:row>
      <xdr:rowOff>57150</xdr:rowOff>
    </xdr:from>
    <xdr:to>
      <xdr:col>51</xdr:col>
      <xdr:colOff>47625</xdr:colOff>
      <xdr:row>308</xdr:row>
      <xdr:rowOff>152399</xdr:rowOff>
    </xdr:to>
    <xdr:sp macro="" textlink="">
      <xdr:nvSpPr>
        <xdr:cNvPr id="9" name="Right Triangle 8">
          <a:extLst>
            <a:ext uri="{FF2B5EF4-FFF2-40B4-BE49-F238E27FC236}">
              <a16:creationId xmlns:a16="http://schemas.microsoft.com/office/drawing/2014/main" id="{FE7608D1-9615-42A9-9FFB-081B3A7920DC}"/>
            </a:ext>
          </a:extLst>
        </xdr:cNvPr>
        <xdr:cNvSpPr/>
      </xdr:nvSpPr>
      <xdr:spPr>
        <a:xfrm flipH="1">
          <a:off x="37604700" y="57083325"/>
          <a:ext cx="15906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51</xdr:col>
      <xdr:colOff>38100</xdr:colOff>
      <xdr:row>304</xdr:row>
      <xdr:rowOff>66675</xdr:rowOff>
    </xdr:from>
    <xdr:to>
      <xdr:col>52</xdr:col>
      <xdr:colOff>85725</xdr:colOff>
      <xdr:row>308</xdr:row>
      <xdr:rowOff>152400</xdr:rowOff>
    </xdr:to>
    <xdr:sp macro="" textlink="">
      <xdr:nvSpPr>
        <xdr:cNvPr id="10" name="Right Triangle 9">
          <a:extLst>
            <a:ext uri="{FF2B5EF4-FFF2-40B4-BE49-F238E27FC236}">
              <a16:creationId xmlns:a16="http://schemas.microsoft.com/office/drawing/2014/main" id="{18EA1082-BF35-48B8-B32D-D27952774A4E}"/>
            </a:ext>
          </a:extLst>
        </xdr:cNvPr>
        <xdr:cNvSpPr/>
      </xdr:nvSpPr>
      <xdr:spPr>
        <a:xfrm>
          <a:off x="3918585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53</xdr:col>
      <xdr:colOff>152400</xdr:colOff>
      <xdr:row>304</xdr:row>
      <xdr:rowOff>66675</xdr:rowOff>
    </xdr:from>
    <xdr:to>
      <xdr:col>55</xdr:col>
      <xdr:colOff>257175</xdr:colOff>
      <xdr:row>308</xdr:row>
      <xdr:rowOff>161924</xdr:rowOff>
    </xdr:to>
    <xdr:sp macro="" textlink="">
      <xdr:nvSpPr>
        <xdr:cNvPr id="11" name="Right Triangle 10">
          <a:extLst>
            <a:ext uri="{FF2B5EF4-FFF2-40B4-BE49-F238E27FC236}">
              <a16:creationId xmlns:a16="http://schemas.microsoft.com/office/drawing/2014/main" id="{3BDBDB7D-95DF-4EB1-B57D-16A22E544990}"/>
            </a:ext>
          </a:extLst>
        </xdr:cNvPr>
        <xdr:cNvSpPr/>
      </xdr:nvSpPr>
      <xdr:spPr>
        <a:xfrm>
          <a:off x="40519350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52</xdr:col>
      <xdr:colOff>95250</xdr:colOff>
      <xdr:row>304</xdr:row>
      <xdr:rowOff>66675</xdr:rowOff>
    </xdr:from>
    <xdr:to>
      <xdr:col>53</xdr:col>
      <xdr:colOff>142875</xdr:colOff>
      <xdr:row>308</xdr:row>
      <xdr:rowOff>152400</xdr:rowOff>
    </xdr:to>
    <xdr:sp macro="" textlink="">
      <xdr:nvSpPr>
        <xdr:cNvPr id="12" name="Right Triangle 11">
          <a:extLst>
            <a:ext uri="{FF2B5EF4-FFF2-40B4-BE49-F238E27FC236}">
              <a16:creationId xmlns:a16="http://schemas.microsoft.com/office/drawing/2014/main" id="{304981EE-9847-4414-99ED-BBB19DD2DAA4}"/>
            </a:ext>
          </a:extLst>
        </xdr:cNvPr>
        <xdr:cNvSpPr/>
      </xdr:nvSpPr>
      <xdr:spPr>
        <a:xfrm flipH="1">
          <a:off x="3985260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60</xdr:col>
      <xdr:colOff>219075</xdr:colOff>
      <xdr:row>304</xdr:row>
      <xdr:rowOff>57150</xdr:rowOff>
    </xdr:from>
    <xdr:to>
      <xdr:col>62</xdr:col>
      <xdr:colOff>47625</xdr:colOff>
      <xdr:row>308</xdr:row>
      <xdr:rowOff>152399</xdr:rowOff>
    </xdr:to>
    <xdr:sp macro="" textlink="">
      <xdr:nvSpPr>
        <xdr:cNvPr id="13" name="Right Triangle 12">
          <a:extLst>
            <a:ext uri="{FF2B5EF4-FFF2-40B4-BE49-F238E27FC236}">
              <a16:creationId xmlns:a16="http://schemas.microsoft.com/office/drawing/2014/main" id="{99F0F146-E887-406F-8AFE-14DF4C3F9668}"/>
            </a:ext>
          </a:extLst>
        </xdr:cNvPr>
        <xdr:cNvSpPr/>
      </xdr:nvSpPr>
      <xdr:spPr>
        <a:xfrm flipH="1">
          <a:off x="44853225" y="57083325"/>
          <a:ext cx="1543050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38100</xdr:colOff>
      <xdr:row>304</xdr:row>
      <xdr:rowOff>66675</xdr:rowOff>
    </xdr:from>
    <xdr:to>
      <xdr:col>63</xdr:col>
      <xdr:colOff>85725</xdr:colOff>
      <xdr:row>308</xdr:row>
      <xdr:rowOff>152400</xdr:rowOff>
    </xdr:to>
    <xdr:sp macro="" textlink="">
      <xdr:nvSpPr>
        <xdr:cNvPr id="14" name="Right Triangle 13">
          <a:extLst>
            <a:ext uri="{FF2B5EF4-FFF2-40B4-BE49-F238E27FC236}">
              <a16:creationId xmlns:a16="http://schemas.microsoft.com/office/drawing/2014/main" id="{F8E49D44-26F6-41B0-BA27-49500A4744D3}"/>
            </a:ext>
          </a:extLst>
        </xdr:cNvPr>
        <xdr:cNvSpPr/>
      </xdr:nvSpPr>
      <xdr:spPr>
        <a:xfrm>
          <a:off x="4638675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64</xdr:col>
      <xdr:colOff>152400</xdr:colOff>
      <xdr:row>304</xdr:row>
      <xdr:rowOff>66675</xdr:rowOff>
    </xdr:from>
    <xdr:to>
      <xdr:col>66</xdr:col>
      <xdr:colOff>257175</xdr:colOff>
      <xdr:row>308</xdr:row>
      <xdr:rowOff>161924</xdr:rowOff>
    </xdr:to>
    <xdr:sp macro="" textlink="">
      <xdr:nvSpPr>
        <xdr:cNvPr id="15" name="Right Triangle 14">
          <a:extLst>
            <a:ext uri="{FF2B5EF4-FFF2-40B4-BE49-F238E27FC236}">
              <a16:creationId xmlns:a16="http://schemas.microsoft.com/office/drawing/2014/main" id="{552CB4EB-0067-4540-9E67-95A17B00D7E1}"/>
            </a:ext>
          </a:extLst>
        </xdr:cNvPr>
        <xdr:cNvSpPr/>
      </xdr:nvSpPr>
      <xdr:spPr>
        <a:xfrm>
          <a:off x="47720250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95250</xdr:colOff>
      <xdr:row>304</xdr:row>
      <xdr:rowOff>66675</xdr:rowOff>
    </xdr:from>
    <xdr:to>
      <xdr:col>64</xdr:col>
      <xdr:colOff>142875</xdr:colOff>
      <xdr:row>308</xdr:row>
      <xdr:rowOff>152400</xdr:rowOff>
    </xdr:to>
    <xdr:sp macro="" textlink="">
      <xdr:nvSpPr>
        <xdr:cNvPr id="16" name="Right Triangle 15">
          <a:extLst>
            <a:ext uri="{FF2B5EF4-FFF2-40B4-BE49-F238E27FC236}">
              <a16:creationId xmlns:a16="http://schemas.microsoft.com/office/drawing/2014/main" id="{4C2E3F95-3DDC-4902-B0A7-22512E6A2041}"/>
            </a:ext>
          </a:extLst>
        </xdr:cNvPr>
        <xdr:cNvSpPr/>
      </xdr:nvSpPr>
      <xdr:spPr>
        <a:xfrm flipH="1">
          <a:off x="4705350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63</xdr:col>
      <xdr:colOff>95250</xdr:colOff>
      <xdr:row>304</xdr:row>
      <xdr:rowOff>76200</xdr:rowOff>
    </xdr:from>
    <xdr:to>
      <xdr:col>63</xdr:col>
      <xdr:colOff>104775</xdr:colOff>
      <xdr:row>308</xdr:row>
      <xdr:rowOff>152400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5841FE9D-B378-4871-BF5C-A92FBB115E3F}"/>
            </a:ext>
          </a:extLst>
        </xdr:cNvPr>
        <xdr:cNvCxnSpPr>
          <a:stCxn id="16" idx="4"/>
        </xdr:cNvCxnSpPr>
      </xdr:nvCxnSpPr>
      <xdr:spPr>
        <a:xfrm flipV="1">
          <a:off x="47053500" y="57102375"/>
          <a:ext cx="9525" cy="838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325</xdr:row>
      <xdr:rowOff>0</xdr:rowOff>
    </xdr:from>
    <xdr:to>
      <xdr:col>34</xdr:col>
      <xdr:colOff>9525</xdr:colOff>
      <xdr:row>329</xdr:row>
      <xdr:rowOff>19050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EDB4975E-01F3-4A9D-A79B-98DB158599C1}"/>
            </a:ext>
          </a:extLst>
        </xdr:cNvPr>
        <xdr:cNvCxnSpPr/>
      </xdr:nvCxnSpPr>
      <xdr:spPr>
        <a:xfrm>
          <a:off x="25946100" y="61064775"/>
          <a:ext cx="1952625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325</xdr:row>
      <xdr:rowOff>0</xdr:rowOff>
    </xdr:from>
    <xdr:to>
      <xdr:col>34</xdr:col>
      <xdr:colOff>28575</xdr:colOff>
      <xdr:row>329</xdr:row>
      <xdr:rowOff>19050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4448BE3F-EF3B-4DF5-8145-7E49CF4DA47E}"/>
            </a:ext>
          </a:extLst>
        </xdr:cNvPr>
        <xdr:cNvCxnSpPr/>
      </xdr:nvCxnSpPr>
      <xdr:spPr>
        <a:xfrm flipV="1">
          <a:off x="25946100" y="61064775"/>
          <a:ext cx="1971675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329</xdr:row>
      <xdr:rowOff>47625</xdr:rowOff>
    </xdr:from>
    <xdr:to>
      <xdr:col>34</xdr:col>
      <xdr:colOff>0</xdr:colOff>
      <xdr:row>329</xdr:row>
      <xdr:rowOff>57150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67339FFF-37CF-4778-82F8-5128C86B3B14}"/>
            </a:ext>
          </a:extLst>
        </xdr:cNvPr>
        <xdr:cNvCxnSpPr/>
      </xdr:nvCxnSpPr>
      <xdr:spPr>
        <a:xfrm flipH="1" flipV="1">
          <a:off x="25784175" y="61912500"/>
          <a:ext cx="2105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9525</xdr:colOff>
      <xdr:row>308</xdr:row>
      <xdr:rowOff>0</xdr:rowOff>
    </xdr:from>
    <xdr:to>
      <xdr:col>34</xdr:col>
      <xdr:colOff>9525</xdr:colOff>
      <xdr:row>312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92CB850-B0E7-4A82-9A26-F9F7FB32BBF8}"/>
            </a:ext>
          </a:extLst>
        </xdr:cNvPr>
        <xdr:cNvCxnSpPr/>
      </xdr:nvCxnSpPr>
      <xdr:spPr>
        <a:xfrm>
          <a:off x="25946100" y="56454675"/>
          <a:ext cx="1952625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308</xdr:row>
      <xdr:rowOff>0</xdr:rowOff>
    </xdr:from>
    <xdr:to>
      <xdr:col>34</xdr:col>
      <xdr:colOff>28575</xdr:colOff>
      <xdr:row>312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6919F36-222D-4277-8289-0FB84C952B93}"/>
            </a:ext>
          </a:extLst>
        </xdr:cNvPr>
        <xdr:cNvCxnSpPr/>
      </xdr:nvCxnSpPr>
      <xdr:spPr>
        <a:xfrm flipV="1">
          <a:off x="25946100" y="56454675"/>
          <a:ext cx="1971675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312</xdr:row>
      <xdr:rowOff>47625</xdr:rowOff>
    </xdr:from>
    <xdr:to>
      <xdr:col>34</xdr:col>
      <xdr:colOff>0</xdr:colOff>
      <xdr:row>312</xdr:row>
      <xdr:rowOff>57150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84CF230-3514-4507-BC53-4C6DA60B44CD}"/>
            </a:ext>
          </a:extLst>
        </xdr:cNvPr>
        <xdr:cNvCxnSpPr/>
      </xdr:nvCxnSpPr>
      <xdr:spPr>
        <a:xfrm flipH="1" flipV="1">
          <a:off x="25784175" y="57645300"/>
          <a:ext cx="2105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219075</xdr:colOff>
      <xdr:row>309</xdr:row>
      <xdr:rowOff>57150</xdr:rowOff>
    </xdr:from>
    <xdr:to>
      <xdr:col>40</xdr:col>
      <xdr:colOff>47625</xdr:colOff>
      <xdr:row>313</xdr:row>
      <xdr:rowOff>152399</xdr:rowOff>
    </xdr:to>
    <xdr:sp macro="" textlink="">
      <xdr:nvSpPr>
        <xdr:cNvPr id="5" name="Right Triangle 4">
          <a:extLst>
            <a:ext uri="{FF2B5EF4-FFF2-40B4-BE49-F238E27FC236}">
              <a16:creationId xmlns:a16="http://schemas.microsoft.com/office/drawing/2014/main" id="{68977412-8565-4069-815A-C02F5A05F144}"/>
            </a:ext>
          </a:extLst>
        </xdr:cNvPr>
        <xdr:cNvSpPr/>
      </xdr:nvSpPr>
      <xdr:spPr>
        <a:xfrm flipH="1">
          <a:off x="30546675" y="57083325"/>
          <a:ext cx="14001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40</xdr:col>
      <xdr:colOff>38100</xdr:colOff>
      <xdr:row>309</xdr:row>
      <xdr:rowOff>66675</xdr:rowOff>
    </xdr:from>
    <xdr:to>
      <xdr:col>41</xdr:col>
      <xdr:colOff>85725</xdr:colOff>
      <xdr:row>313</xdr:row>
      <xdr:rowOff>152400</xdr:rowOff>
    </xdr:to>
    <xdr:sp macro="" textlink="">
      <xdr:nvSpPr>
        <xdr:cNvPr id="6" name="Right Triangle 5">
          <a:extLst>
            <a:ext uri="{FF2B5EF4-FFF2-40B4-BE49-F238E27FC236}">
              <a16:creationId xmlns:a16="http://schemas.microsoft.com/office/drawing/2014/main" id="{05DA855D-5800-47D6-BF01-1888F209E92D}"/>
            </a:ext>
          </a:extLst>
        </xdr:cNvPr>
        <xdr:cNvSpPr/>
      </xdr:nvSpPr>
      <xdr:spPr>
        <a:xfrm>
          <a:off x="31937325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42</xdr:col>
      <xdr:colOff>152400</xdr:colOff>
      <xdr:row>309</xdr:row>
      <xdr:rowOff>66675</xdr:rowOff>
    </xdr:from>
    <xdr:to>
      <xdr:col>44</xdr:col>
      <xdr:colOff>257175</xdr:colOff>
      <xdr:row>313</xdr:row>
      <xdr:rowOff>161924</xdr:rowOff>
    </xdr:to>
    <xdr:sp macro="" textlink="">
      <xdr:nvSpPr>
        <xdr:cNvPr id="7" name="Right Triangle 6">
          <a:extLst>
            <a:ext uri="{FF2B5EF4-FFF2-40B4-BE49-F238E27FC236}">
              <a16:creationId xmlns:a16="http://schemas.microsoft.com/office/drawing/2014/main" id="{AC6FE1E5-768C-48A7-B26F-509D524A8694}"/>
            </a:ext>
          </a:extLst>
        </xdr:cNvPr>
        <xdr:cNvSpPr/>
      </xdr:nvSpPr>
      <xdr:spPr>
        <a:xfrm>
          <a:off x="33270825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41</xdr:col>
      <xdr:colOff>95250</xdr:colOff>
      <xdr:row>309</xdr:row>
      <xdr:rowOff>66675</xdr:rowOff>
    </xdr:from>
    <xdr:to>
      <xdr:col>42</xdr:col>
      <xdr:colOff>142875</xdr:colOff>
      <xdr:row>313</xdr:row>
      <xdr:rowOff>152400</xdr:rowOff>
    </xdr:to>
    <xdr:sp macro="" textlink="">
      <xdr:nvSpPr>
        <xdr:cNvPr id="8" name="Right Triangle 7">
          <a:extLst>
            <a:ext uri="{FF2B5EF4-FFF2-40B4-BE49-F238E27FC236}">
              <a16:creationId xmlns:a16="http://schemas.microsoft.com/office/drawing/2014/main" id="{6EB75C58-2260-4745-828C-BADCC3342714}"/>
            </a:ext>
          </a:extLst>
        </xdr:cNvPr>
        <xdr:cNvSpPr/>
      </xdr:nvSpPr>
      <xdr:spPr>
        <a:xfrm flipH="1">
          <a:off x="32604075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49</xdr:col>
      <xdr:colOff>219075</xdr:colOff>
      <xdr:row>309</xdr:row>
      <xdr:rowOff>57150</xdr:rowOff>
    </xdr:from>
    <xdr:to>
      <xdr:col>51</xdr:col>
      <xdr:colOff>47625</xdr:colOff>
      <xdr:row>313</xdr:row>
      <xdr:rowOff>152399</xdr:rowOff>
    </xdr:to>
    <xdr:sp macro="" textlink="">
      <xdr:nvSpPr>
        <xdr:cNvPr id="9" name="Right Triangle 8">
          <a:extLst>
            <a:ext uri="{FF2B5EF4-FFF2-40B4-BE49-F238E27FC236}">
              <a16:creationId xmlns:a16="http://schemas.microsoft.com/office/drawing/2014/main" id="{3AA0DBEB-7FC3-408F-A3B4-1672696D1E37}"/>
            </a:ext>
          </a:extLst>
        </xdr:cNvPr>
        <xdr:cNvSpPr/>
      </xdr:nvSpPr>
      <xdr:spPr>
        <a:xfrm flipH="1">
          <a:off x="37604700" y="57083325"/>
          <a:ext cx="15906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51</xdr:col>
      <xdr:colOff>38100</xdr:colOff>
      <xdr:row>309</xdr:row>
      <xdr:rowOff>66675</xdr:rowOff>
    </xdr:from>
    <xdr:to>
      <xdr:col>52</xdr:col>
      <xdr:colOff>85725</xdr:colOff>
      <xdr:row>313</xdr:row>
      <xdr:rowOff>152400</xdr:rowOff>
    </xdr:to>
    <xdr:sp macro="" textlink="">
      <xdr:nvSpPr>
        <xdr:cNvPr id="10" name="Right Triangle 9">
          <a:extLst>
            <a:ext uri="{FF2B5EF4-FFF2-40B4-BE49-F238E27FC236}">
              <a16:creationId xmlns:a16="http://schemas.microsoft.com/office/drawing/2014/main" id="{8412E439-B063-4098-B258-52E52C10415A}"/>
            </a:ext>
          </a:extLst>
        </xdr:cNvPr>
        <xdr:cNvSpPr/>
      </xdr:nvSpPr>
      <xdr:spPr>
        <a:xfrm>
          <a:off x="3918585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53</xdr:col>
      <xdr:colOff>152400</xdr:colOff>
      <xdr:row>309</xdr:row>
      <xdr:rowOff>66675</xdr:rowOff>
    </xdr:from>
    <xdr:to>
      <xdr:col>55</xdr:col>
      <xdr:colOff>257175</xdr:colOff>
      <xdr:row>313</xdr:row>
      <xdr:rowOff>161924</xdr:rowOff>
    </xdr:to>
    <xdr:sp macro="" textlink="">
      <xdr:nvSpPr>
        <xdr:cNvPr id="11" name="Right Triangle 10">
          <a:extLst>
            <a:ext uri="{FF2B5EF4-FFF2-40B4-BE49-F238E27FC236}">
              <a16:creationId xmlns:a16="http://schemas.microsoft.com/office/drawing/2014/main" id="{3B6AE045-E09B-4F13-B201-B592DE37AF11}"/>
            </a:ext>
          </a:extLst>
        </xdr:cNvPr>
        <xdr:cNvSpPr/>
      </xdr:nvSpPr>
      <xdr:spPr>
        <a:xfrm>
          <a:off x="40519350" y="57092850"/>
          <a:ext cx="1323975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52</xdr:col>
      <xdr:colOff>95250</xdr:colOff>
      <xdr:row>309</xdr:row>
      <xdr:rowOff>66675</xdr:rowOff>
    </xdr:from>
    <xdr:to>
      <xdr:col>53</xdr:col>
      <xdr:colOff>142875</xdr:colOff>
      <xdr:row>313</xdr:row>
      <xdr:rowOff>152400</xdr:rowOff>
    </xdr:to>
    <xdr:sp macro="" textlink="">
      <xdr:nvSpPr>
        <xdr:cNvPr id="12" name="Right Triangle 11">
          <a:extLst>
            <a:ext uri="{FF2B5EF4-FFF2-40B4-BE49-F238E27FC236}">
              <a16:creationId xmlns:a16="http://schemas.microsoft.com/office/drawing/2014/main" id="{AE70A8B3-DB01-4AC8-BBC8-C0616D955C69}"/>
            </a:ext>
          </a:extLst>
        </xdr:cNvPr>
        <xdr:cNvSpPr/>
      </xdr:nvSpPr>
      <xdr:spPr>
        <a:xfrm flipH="1">
          <a:off x="39852600" y="57092850"/>
          <a:ext cx="657225" cy="84772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60</xdr:col>
      <xdr:colOff>219075</xdr:colOff>
      <xdr:row>309</xdr:row>
      <xdr:rowOff>57150</xdr:rowOff>
    </xdr:from>
    <xdr:to>
      <xdr:col>62</xdr:col>
      <xdr:colOff>47625</xdr:colOff>
      <xdr:row>313</xdr:row>
      <xdr:rowOff>152399</xdr:rowOff>
    </xdr:to>
    <xdr:sp macro="" textlink="">
      <xdr:nvSpPr>
        <xdr:cNvPr id="13" name="Right Triangle 12">
          <a:extLst>
            <a:ext uri="{FF2B5EF4-FFF2-40B4-BE49-F238E27FC236}">
              <a16:creationId xmlns:a16="http://schemas.microsoft.com/office/drawing/2014/main" id="{4EE0A861-2125-4B8E-B558-ADCEB9D72D94}"/>
            </a:ext>
          </a:extLst>
        </xdr:cNvPr>
        <xdr:cNvSpPr/>
      </xdr:nvSpPr>
      <xdr:spPr>
        <a:xfrm flipH="1">
          <a:off x="44853225" y="57083325"/>
          <a:ext cx="1543050" cy="857249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62</xdr:col>
      <xdr:colOff>38099</xdr:colOff>
      <xdr:row>309</xdr:row>
      <xdr:rowOff>64769</xdr:rowOff>
    </xdr:from>
    <xdr:to>
      <xdr:col>64</xdr:col>
      <xdr:colOff>161924</xdr:colOff>
      <xdr:row>313</xdr:row>
      <xdr:rowOff>161924</xdr:rowOff>
    </xdr:to>
    <xdr:sp macro="" textlink="">
      <xdr:nvSpPr>
        <xdr:cNvPr id="14" name="Right Triangle 13">
          <a:extLst>
            <a:ext uri="{FF2B5EF4-FFF2-40B4-BE49-F238E27FC236}">
              <a16:creationId xmlns:a16="http://schemas.microsoft.com/office/drawing/2014/main" id="{51511B66-15B5-4A55-97C8-A0251A1F4039}"/>
            </a:ext>
          </a:extLst>
        </xdr:cNvPr>
        <xdr:cNvSpPr/>
      </xdr:nvSpPr>
      <xdr:spPr>
        <a:xfrm>
          <a:off x="47520224" y="54366794"/>
          <a:ext cx="1343025" cy="821055"/>
        </a:xfrm>
        <a:prstGeom prst="rtTriangle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9525</xdr:colOff>
      <xdr:row>330</xdr:row>
      <xdr:rowOff>0</xdr:rowOff>
    </xdr:from>
    <xdr:to>
      <xdr:col>34</xdr:col>
      <xdr:colOff>9525</xdr:colOff>
      <xdr:row>334</xdr:row>
      <xdr:rowOff>19050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7E7697D5-DA0D-4B09-B02D-554A3D3D3E77}"/>
            </a:ext>
          </a:extLst>
        </xdr:cNvPr>
        <xdr:cNvCxnSpPr/>
      </xdr:nvCxnSpPr>
      <xdr:spPr>
        <a:xfrm>
          <a:off x="25946100" y="61064775"/>
          <a:ext cx="1952625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9525</xdr:colOff>
      <xdr:row>330</xdr:row>
      <xdr:rowOff>0</xdr:rowOff>
    </xdr:from>
    <xdr:to>
      <xdr:col>34</xdr:col>
      <xdr:colOff>28575</xdr:colOff>
      <xdr:row>334</xdr:row>
      <xdr:rowOff>19050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6D80360B-308F-40C5-BF2E-28B0B6697DA4}"/>
            </a:ext>
          </a:extLst>
        </xdr:cNvPr>
        <xdr:cNvCxnSpPr/>
      </xdr:nvCxnSpPr>
      <xdr:spPr>
        <a:xfrm flipV="1">
          <a:off x="25946100" y="61064775"/>
          <a:ext cx="1971675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742950</xdr:colOff>
      <xdr:row>334</xdr:row>
      <xdr:rowOff>47625</xdr:rowOff>
    </xdr:from>
    <xdr:to>
      <xdr:col>34</xdr:col>
      <xdr:colOff>0</xdr:colOff>
      <xdr:row>334</xdr:row>
      <xdr:rowOff>57150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A2D5BF7E-BE8D-47EF-8DB8-F6568AA3CC60}"/>
            </a:ext>
          </a:extLst>
        </xdr:cNvPr>
        <xdr:cNvCxnSpPr/>
      </xdr:nvCxnSpPr>
      <xdr:spPr>
        <a:xfrm flipH="1" flipV="1">
          <a:off x="25784175" y="61912500"/>
          <a:ext cx="21050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643B-51B2-4BE0-8EC7-55FF873005B2}">
  <dimension ref="A1:J34"/>
  <sheetViews>
    <sheetView workbookViewId="0">
      <selection sqref="A1:J30"/>
    </sheetView>
  </sheetViews>
  <sheetFormatPr defaultRowHeight="14.4" x14ac:dyDescent="0.3"/>
  <cols>
    <col min="1" max="4" width="12.33203125" customWidth="1"/>
    <col min="5" max="5" width="127.77734375" customWidth="1"/>
    <col min="6" max="7" width="12.33203125" customWidth="1"/>
    <col min="8" max="8" width="18.77734375" customWidth="1"/>
    <col min="9" max="10" width="12.33203125" customWidth="1"/>
  </cols>
  <sheetData>
    <row r="1" spans="1:10" ht="15" thickBot="1" x14ac:dyDescent="0.35">
      <c r="A1" s="183"/>
      <c r="B1" s="184"/>
      <c r="C1" s="184"/>
      <c r="D1" s="184"/>
      <c r="E1" s="118" t="s">
        <v>403</v>
      </c>
      <c r="F1" s="184" t="s">
        <v>402</v>
      </c>
      <c r="G1" s="184"/>
      <c r="H1" s="184"/>
      <c r="I1" s="184"/>
      <c r="J1" s="185"/>
    </row>
    <row r="2" spans="1:10" ht="15" thickBot="1" x14ac:dyDescent="0.35">
      <c r="A2" s="119" t="s">
        <v>264</v>
      </c>
      <c r="B2" s="120" t="s">
        <v>265</v>
      </c>
      <c r="C2" s="121" t="s">
        <v>266</v>
      </c>
      <c r="D2" s="122" t="s">
        <v>267</v>
      </c>
      <c r="E2" s="123" t="s">
        <v>268</v>
      </c>
      <c r="F2" s="124" t="s">
        <v>269</v>
      </c>
      <c r="G2" s="121" t="s">
        <v>270</v>
      </c>
      <c r="H2" s="121" t="s">
        <v>271</v>
      </c>
      <c r="I2" s="121" t="s">
        <v>272</v>
      </c>
      <c r="J2" s="125" t="s">
        <v>273</v>
      </c>
    </row>
    <row r="3" spans="1:10" x14ac:dyDescent="0.3">
      <c r="A3" s="126">
        <v>202</v>
      </c>
      <c r="B3" s="127">
        <v>11203</v>
      </c>
      <c r="C3" s="128" t="str">
        <f t="shared" ref="C3:C7" si="0">IF(D3="LUMP","LS",IF(SUM(F3:I3)=0,"",(SUM(F3:I3))))</f>
        <v>LS</v>
      </c>
      <c r="D3" s="129" t="s">
        <v>274</v>
      </c>
      <c r="E3" s="130" t="s">
        <v>275</v>
      </c>
      <c r="F3" s="128" t="s">
        <v>274</v>
      </c>
      <c r="G3" s="128"/>
      <c r="H3" s="128" t="s">
        <v>274</v>
      </c>
      <c r="I3" s="128"/>
      <c r="J3" s="131">
        <v>11</v>
      </c>
    </row>
    <row r="4" spans="1:10" x14ac:dyDescent="0.3">
      <c r="A4" s="126">
        <v>510</v>
      </c>
      <c r="B4" s="127">
        <v>10001</v>
      </c>
      <c r="C4" s="134">
        <f t="shared" ref="C4:C6" si="1">IF(D4="LUMP","LS",IF(SUM(F4:I4)=0,"",(SUM(F4:I4))))</f>
        <v>14</v>
      </c>
      <c r="D4" s="129" t="s">
        <v>0</v>
      </c>
      <c r="E4" s="130" t="s">
        <v>414</v>
      </c>
      <c r="F4" s="128">
        <v>14</v>
      </c>
      <c r="G4" s="128"/>
      <c r="H4" s="128"/>
      <c r="I4" s="128"/>
      <c r="J4" s="131">
        <v>12</v>
      </c>
    </row>
    <row r="5" spans="1:10" x14ac:dyDescent="0.3">
      <c r="A5" s="126">
        <v>511</v>
      </c>
      <c r="B5" s="127">
        <v>81300</v>
      </c>
      <c r="C5" s="134">
        <f t="shared" si="1"/>
        <v>7</v>
      </c>
      <c r="D5" s="129" t="s">
        <v>0</v>
      </c>
      <c r="E5" s="130" t="s">
        <v>444</v>
      </c>
      <c r="F5" s="128">
        <v>7</v>
      </c>
      <c r="G5" s="128"/>
      <c r="H5" s="128"/>
      <c r="I5" s="128"/>
      <c r="J5" s="131"/>
    </row>
    <row r="6" spans="1:10" x14ac:dyDescent="0.3">
      <c r="A6" s="126">
        <v>513</v>
      </c>
      <c r="B6" s="127">
        <v>10200</v>
      </c>
      <c r="C6" s="134">
        <f t="shared" si="1"/>
        <v>532</v>
      </c>
      <c r="D6" s="129" t="s">
        <v>434</v>
      </c>
      <c r="E6" s="136" t="s">
        <v>435</v>
      </c>
      <c r="F6" s="128"/>
      <c r="G6" s="128"/>
      <c r="H6" s="128">
        <v>532</v>
      </c>
      <c r="I6" s="128"/>
      <c r="J6" s="131"/>
    </row>
    <row r="7" spans="1:10" x14ac:dyDescent="0.3">
      <c r="A7" s="132" t="s">
        <v>283</v>
      </c>
      <c r="B7" s="133">
        <v>95020</v>
      </c>
      <c r="C7" s="128" t="str">
        <f t="shared" si="0"/>
        <v>LS</v>
      </c>
      <c r="D7" s="135" t="s">
        <v>274</v>
      </c>
      <c r="E7" s="136" t="s">
        <v>413</v>
      </c>
      <c r="F7" s="134"/>
      <c r="G7" s="134"/>
      <c r="H7" s="137" t="s">
        <v>274</v>
      </c>
      <c r="I7" s="134"/>
      <c r="J7" s="138">
        <v>12</v>
      </c>
    </row>
    <row r="8" spans="1:10" hidden="1" x14ac:dyDescent="0.3">
      <c r="A8" s="132" t="s">
        <v>277</v>
      </c>
      <c r="B8" s="133">
        <v>34410</v>
      </c>
      <c r="C8" s="134">
        <f t="shared" ref="C8:C12" si="2">IF(D8="LUMP","LS",IF(SUM(F8:I8)=0,"",(SUM(F8:I8))))</f>
        <v>2</v>
      </c>
      <c r="D8" s="135" t="s">
        <v>196</v>
      </c>
      <c r="E8" s="136" t="s">
        <v>278</v>
      </c>
      <c r="F8" s="134"/>
      <c r="G8" s="134"/>
      <c r="H8" s="137">
        <v>2</v>
      </c>
      <c r="I8" s="134"/>
      <c r="J8" s="138"/>
    </row>
    <row r="9" spans="1:10" hidden="1" x14ac:dyDescent="0.3">
      <c r="A9" s="139"/>
      <c r="B9" s="140"/>
      <c r="C9" s="141"/>
      <c r="D9" s="142"/>
      <c r="E9" s="143"/>
      <c r="F9" s="144"/>
      <c r="G9" s="141"/>
      <c r="H9" s="141"/>
      <c r="I9" s="141"/>
      <c r="J9" s="145"/>
    </row>
    <row r="10" spans="1:10" hidden="1" x14ac:dyDescent="0.3">
      <c r="A10" s="146">
        <v>512</v>
      </c>
      <c r="B10" s="133">
        <v>10101</v>
      </c>
      <c r="C10" s="134">
        <f t="shared" si="2"/>
        <v>1323</v>
      </c>
      <c r="D10" s="135" t="s">
        <v>279</v>
      </c>
      <c r="E10" s="136" t="s">
        <v>378</v>
      </c>
      <c r="F10" s="134">
        <v>636</v>
      </c>
      <c r="G10" s="134"/>
      <c r="H10" s="134">
        <v>687</v>
      </c>
      <c r="I10" s="134"/>
      <c r="J10" s="131">
        <v>9</v>
      </c>
    </row>
    <row r="11" spans="1:10" hidden="1" x14ac:dyDescent="0.3">
      <c r="A11" s="147" t="s">
        <v>280</v>
      </c>
      <c r="B11" s="133" t="s">
        <v>281</v>
      </c>
      <c r="C11" s="134">
        <f t="shared" si="2"/>
        <v>1575</v>
      </c>
      <c r="D11" s="135" t="s">
        <v>279</v>
      </c>
      <c r="E11" s="136" t="s">
        <v>282</v>
      </c>
      <c r="F11" s="134">
        <v>331</v>
      </c>
      <c r="G11" s="134"/>
      <c r="H11" s="134">
        <v>1244</v>
      </c>
      <c r="I11" s="134"/>
      <c r="J11" s="138"/>
    </row>
    <row r="12" spans="1:10" hidden="1" x14ac:dyDescent="0.3">
      <c r="A12" s="147" t="s">
        <v>280</v>
      </c>
      <c r="B12" s="133" t="s">
        <v>281</v>
      </c>
      <c r="C12" s="134" t="str">
        <f t="shared" si="2"/>
        <v/>
      </c>
      <c r="D12" s="135" t="s">
        <v>279</v>
      </c>
      <c r="E12" s="136" t="s">
        <v>282</v>
      </c>
      <c r="F12" s="134"/>
      <c r="G12" s="134"/>
      <c r="H12" s="134"/>
      <c r="I12" s="134"/>
      <c r="J12" s="138"/>
    </row>
    <row r="13" spans="1:10" hidden="1" x14ac:dyDescent="0.3">
      <c r="A13" s="132"/>
      <c r="B13" s="133"/>
      <c r="C13" s="134"/>
      <c r="D13" s="135"/>
      <c r="E13" s="136"/>
      <c r="F13" s="134"/>
      <c r="G13" s="134"/>
      <c r="H13" s="137"/>
      <c r="I13" s="134"/>
      <c r="J13" s="138"/>
    </row>
    <row r="14" spans="1:10" hidden="1" x14ac:dyDescent="0.3">
      <c r="A14" s="162" t="s">
        <v>283</v>
      </c>
      <c r="B14" s="148" t="s">
        <v>284</v>
      </c>
      <c r="C14" s="134">
        <f t="shared" ref="C14:C16" si="3">IF(D14="LUMP","LS",IF(SUM(F14:I14)=0,"",(SUM(F14:I14))))</f>
        <v>350</v>
      </c>
      <c r="D14" s="134" t="s">
        <v>0</v>
      </c>
      <c r="E14" s="149" t="s">
        <v>285</v>
      </c>
      <c r="F14" s="150"/>
      <c r="G14" s="151"/>
      <c r="H14" s="151">
        <v>350</v>
      </c>
      <c r="I14" s="151"/>
      <c r="J14" s="131" t="s">
        <v>276</v>
      </c>
    </row>
    <row r="15" spans="1:10" hidden="1" x14ac:dyDescent="0.3">
      <c r="A15" s="147">
        <v>513</v>
      </c>
      <c r="B15" s="133">
        <v>95030</v>
      </c>
      <c r="C15" s="134">
        <f t="shared" si="3"/>
        <v>6</v>
      </c>
      <c r="D15" s="135" t="s">
        <v>0</v>
      </c>
      <c r="E15" s="136" t="s">
        <v>286</v>
      </c>
      <c r="F15" s="134"/>
      <c r="G15" s="134"/>
      <c r="H15" s="134">
        <v>6</v>
      </c>
      <c r="I15" s="134"/>
      <c r="J15" s="131" t="s">
        <v>287</v>
      </c>
    </row>
    <row r="16" spans="1:10" hidden="1" x14ac:dyDescent="0.3">
      <c r="A16" s="147">
        <v>513</v>
      </c>
      <c r="B16" s="133">
        <v>95030</v>
      </c>
      <c r="C16" s="134">
        <f t="shared" si="3"/>
        <v>6</v>
      </c>
      <c r="D16" s="135" t="s">
        <v>0</v>
      </c>
      <c r="E16" s="136" t="s">
        <v>288</v>
      </c>
      <c r="F16" s="134"/>
      <c r="G16" s="134"/>
      <c r="H16" s="134">
        <v>6</v>
      </c>
      <c r="I16" s="134"/>
      <c r="J16" s="131" t="s">
        <v>276</v>
      </c>
    </row>
    <row r="17" spans="1:10" hidden="1" x14ac:dyDescent="0.3">
      <c r="A17" s="132"/>
      <c r="B17" s="133"/>
      <c r="C17" s="134"/>
      <c r="D17" s="135"/>
      <c r="E17" s="136"/>
      <c r="F17" s="134"/>
      <c r="G17" s="134"/>
      <c r="H17" s="137"/>
      <c r="I17" s="134"/>
      <c r="J17" s="138"/>
    </row>
    <row r="18" spans="1:10" x14ac:dyDescent="0.3">
      <c r="A18" s="132"/>
      <c r="B18" s="133"/>
      <c r="C18" s="134"/>
      <c r="D18" s="135"/>
      <c r="E18" s="136"/>
      <c r="F18" s="134"/>
      <c r="G18" s="134"/>
      <c r="H18" s="137"/>
      <c r="I18" s="134"/>
      <c r="J18" s="138"/>
    </row>
    <row r="19" spans="1:10" x14ac:dyDescent="0.3">
      <c r="A19" s="132" t="s">
        <v>289</v>
      </c>
      <c r="B19" s="133">
        <v>50</v>
      </c>
      <c r="C19" s="134">
        <f t="shared" ref="C19:C29" si="4">IF(D19="LUMP","LS",IF(SUM(F19:I19)=0,"",(SUM(F19:I19))))</f>
        <v>2945</v>
      </c>
      <c r="D19" s="135" t="s">
        <v>11</v>
      </c>
      <c r="E19" s="136" t="s">
        <v>124</v>
      </c>
      <c r="F19" s="134"/>
      <c r="G19" s="137"/>
      <c r="H19" s="137">
        <v>2945</v>
      </c>
      <c r="I19" s="134"/>
      <c r="J19" s="138"/>
    </row>
    <row r="20" spans="1:10" x14ac:dyDescent="0.3">
      <c r="A20" s="132" t="s">
        <v>289</v>
      </c>
      <c r="B20" s="133">
        <v>56</v>
      </c>
      <c r="C20" s="134">
        <f t="shared" si="4"/>
        <v>2945</v>
      </c>
      <c r="D20" s="135" t="s">
        <v>11</v>
      </c>
      <c r="E20" s="136" t="s">
        <v>290</v>
      </c>
      <c r="F20" s="134"/>
      <c r="G20" s="137"/>
      <c r="H20" s="137">
        <v>2945</v>
      </c>
      <c r="I20" s="134"/>
      <c r="J20" s="138"/>
    </row>
    <row r="21" spans="1:10" x14ac:dyDescent="0.3">
      <c r="A21" s="132" t="s">
        <v>289</v>
      </c>
      <c r="B21" s="133">
        <v>60</v>
      </c>
      <c r="C21" s="134">
        <f t="shared" si="4"/>
        <v>2945</v>
      </c>
      <c r="D21" s="135" t="s">
        <v>11</v>
      </c>
      <c r="E21" s="136" t="s">
        <v>291</v>
      </c>
      <c r="F21" s="134"/>
      <c r="G21" s="137"/>
      <c r="H21" s="137">
        <v>2945</v>
      </c>
      <c r="I21" s="134"/>
      <c r="J21" s="138"/>
    </row>
    <row r="22" spans="1:10" x14ac:dyDescent="0.3">
      <c r="A22" s="132" t="s">
        <v>289</v>
      </c>
      <c r="B22" s="133">
        <v>66</v>
      </c>
      <c r="C22" s="134">
        <f t="shared" si="4"/>
        <v>2945</v>
      </c>
      <c r="D22" s="135" t="s">
        <v>11</v>
      </c>
      <c r="E22" s="136" t="s">
        <v>292</v>
      </c>
      <c r="F22" s="134"/>
      <c r="G22" s="137"/>
      <c r="H22" s="137">
        <v>2945</v>
      </c>
      <c r="I22" s="134"/>
      <c r="J22" s="138"/>
    </row>
    <row r="23" spans="1:10" x14ac:dyDescent="0.3">
      <c r="A23" s="132" t="s">
        <v>289</v>
      </c>
      <c r="B23" s="133">
        <v>504</v>
      </c>
      <c r="C23" s="134">
        <f t="shared" si="4"/>
        <v>2</v>
      </c>
      <c r="D23" s="135" t="s">
        <v>293</v>
      </c>
      <c r="E23" s="136" t="s">
        <v>107</v>
      </c>
      <c r="F23" s="134"/>
      <c r="G23" s="137"/>
      <c r="H23" s="137">
        <v>2</v>
      </c>
      <c r="I23" s="134"/>
      <c r="J23" s="138"/>
    </row>
    <row r="24" spans="1:10" x14ac:dyDescent="0.3">
      <c r="A24" s="132" t="s">
        <v>289</v>
      </c>
      <c r="B24" s="133">
        <v>10000</v>
      </c>
      <c r="C24" s="134">
        <f t="shared" si="4"/>
        <v>2</v>
      </c>
      <c r="D24" s="135" t="s">
        <v>0</v>
      </c>
      <c r="E24" s="136" t="s">
        <v>102</v>
      </c>
      <c r="F24" s="134"/>
      <c r="G24" s="134"/>
      <c r="H24" s="137">
        <v>2</v>
      </c>
      <c r="I24" s="134"/>
      <c r="J24" s="138"/>
    </row>
    <row r="25" spans="1:10" x14ac:dyDescent="0.3">
      <c r="A25" s="132"/>
      <c r="B25" s="133"/>
      <c r="C25" s="134"/>
      <c r="D25" s="135"/>
      <c r="E25" s="136"/>
      <c r="F25" s="134"/>
      <c r="G25" s="134"/>
      <c r="H25" s="137"/>
      <c r="I25" s="134"/>
      <c r="J25" s="138"/>
    </row>
    <row r="26" spans="1:10" x14ac:dyDescent="0.3">
      <c r="A26" s="132" t="s">
        <v>294</v>
      </c>
      <c r="B26" s="133">
        <v>43400</v>
      </c>
      <c r="C26" s="134">
        <f t="shared" ref="C26" si="5">IF(D26="LUMP","LS",IF(SUM(F26:I26)=0,"",(SUM(F26:I26))))</f>
        <v>7</v>
      </c>
      <c r="D26" s="135" t="s">
        <v>0</v>
      </c>
      <c r="E26" s="136" t="s">
        <v>442</v>
      </c>
      <c r="F26" s="134"/>
      <c r="G26" s="134"/>
      <c r="H26" s="137">
        <v>7</v>
      </c>
      <c r="I26" s="134"/>
      <c r="J26" s="138"/>
    </row>
    <row r="27" spans="1:10" x14ac:dyDescent="0.3">
      <c r="A27" s="146"/>
      <c r="B27" s="133"/>
      <c r="C27" s="134" t="str">
        <f t="shared" si="4"/>
        <v/>
      </c>
      <c r="D27" s="154"/>
      <c r="E27" s="136" t="s">
        <v>441</v>
      </c>
      <c r="F27" s="134"/>
      <c r="G27" s="134"/>
      <c r="H27" s="134"/>
      <c r="I27" s="134"/>
      <c r="J27" s="138"/>
    </row>
    <row r="28" spans="1:10" x14ac:dyDescent="0.3">
      <c r="A28" s="126">
        <v>516</v>
      </c>
      <c r="B28" s="128">
        <v>47001</v>
      </c>
      <c r="C28" s="128" t="str">
        <f t="shared" si="4"/>
        <v>LS</v>
      </c>
      <c r="D28" s="128" t="s">
        <v>274</v>
      </c>
      <c r="E28" s="152" t="s">
        <v>299</v>
      </c>
      <c r="F28" s="128"/>
      <c r="G28" s="128"/>
      <c r="H28" s="128" t="s">
        <v>274</v>
      </c>
      <c r="I28" s="128"/>
      <c r="J28" s="153">
        <v>12</v>
      </c>
    </row>
    <row r="29" spans="1:10" x14ac:dyDescent="0.3">
      <c r="A29" s="126">
        <v>518</v>
      </c>
      <c r="B29" s="128">
        <v>12500</v>
      </c>
      <c r="C29" s="128">
        <f t="shared" si="4"/>
        <v>10</v>
      </c>
      <c r="D29" s="128" t="s">
        <v>0</v>
      </c>
      <c r="E29" s="152" t="s">
        <v>337</v>
      </c>
      <c r="F29" s="128"/>
      <c r="G29" s="128"/>
      <c r="H29" s="128">
        <v>10</v>
      </c>
      <c r="I29" s="128"/>
      <c r="J29" s="153">
        <v>12</v>
      </c>
    </row>
    <row r="30" spans="1:10" ht="15" thickBot="1" x14ac:dyDescent="0.35">
      <c r="A30" s="163"/>
      <c r="B30" s="164"/>
      <c r="C30" s="164"/>
      <c r="D30" s="164"/>
      <c r="E30" s="164"/>
      <c r="F30" s="164"/>
      <c r="G30" s="164"/>
      <c r="H30" s="164"/>
      <c r="I30" s="164"/>
      <c r="J30" s="165"/>
    </row>
    <row r="33" spans="1:10" x14ac:dyDescent="0.3">
      <c r="A33" s="132" t="s">
        <v>294</v>
      </c>
      <c r="B33" s="133">
        <v>1300</v>
      </c>
      <c r="C33" s="134">
        <f t="shared" ref="C33:C34" si="6">IF(D33="LUMP","LS",IF(SUM(F33:I33)=0,"",(SUM(F33:I33))))</f>
        <v>224</v>
      </c>
      <c r="D33" s="135" t="s">
        <v>6</v>
      </c>
      <c r="E33" s="136" t="s">
        <v>300</v>
      </c>
      <c r="F33" s="134"/>
      <c r="G33" s="134"/>
      <c r="H33" s="137">
        <v>224</v>
      </c>
      <c r="I33" s="134"/>
      <c r="J33" s="138"/>
    </row>
    <row r="34" spans="1:10" x14ac:dyDescent="0.3">
      <c r="A34" s="146">
        <v>519</v>
      </c>
      <c r="B34" s="134">
        <v>12300</v>
      </c>
      <c r="C34" s="134">
        <f t="shared" si="6"/>
        <v>14</v>
      </c>
      <c r="D34" s="134" t="s">
        <v>279</v>
      </c>
      <c r="E34" s="9" t="s">
        <v>298</v>
      </c>
      <c r="F34" s="134">
        <v>14</v>
      </c>
      <c r="G34" s="134"/>
      <c r="H34" s="134"/>
      <c r="I34" s="134"/>
      <c r="J34" s="138"/>
    </row>
  </sheetData>
  <mergeCells count="2">
    <mergeCell ref="A1:D1"/>
    <mergeCell ref="F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12B5-00FE-49DF-8869-5769E8950593}">
  <dimension ref="A1:BR451"/>
  <sheetViews>
    <sheetView topLeftCell="A34" workbookViewId="0">
      <selection activeCell="C415" sqref="C415"/>
    </sheetView>
  </sheetViews>
  <sheetFormatPr defaultRowHeight="14.4" x14ac:dyDescent="0.3"/>
  <cols>
    <col min="3" max="3" width="21.5546875" customWidth="1"/>
    <col min="4" max="4" width="22" customWidth="1"/>
    <col min="5" max="5" width="10.6640625" customWidth="1"/>
    <col min="9" max="9" width="12.88671875" customWidth="1"/>
    <col min="10" max="10" width="10.44140625" customWidth="1"/>
    <col min="12" max="12" width="12.88671875" customWidth="1"/>
    <col min="13" max="13" width="12.109375" customWidth="1"/>
    <col min="14" max="14" width="16.21875" customWidth="1"/>
    <col min="15" max="15" width="14" customWidth="1"/>
    <col min="16" max="16" width="12.88671875" customWidth="1"/>
    <col min="17" max="17" width="16.109375" customWidth="1"/>
    <col min="18" max="28" width="12.88671875" customWidth="1"/>
    <col min="30" max="31" width="13.44140625" customWidth="1"/>
    <col min="32" max="32" width="11" customWidth="1"/>
    <col min="40" max="40" width="14.44140625" customWidth="1"/>
    <col min="51" max="51" width="17.33203125" customWidth="1"/>
    <col min="62" max="62" width="16.5546875" customWidth="1"/>
  </cols>
  <sheetData>
    <row r="1" spans="1:5" x14ac:dyDescent="0.3">
      <c r="A1" s="2" t="s">
        <v>219</v>
      </c>
    </row>
    <row r="3" spans="1:5" x14ac:dyDescent="0.3">
      <c r="A3" t="s">
        <v>218</v>
      </c>
      <c r="C3">
        <v>0</v>
      </c>
    </row>
    <row r="4" spans="1:5" x14ac:dyDescent="0.3">
      <c r="A4" t="s">
        <v>217</v>
      </c>
      <c r="C4">
        <v>0</v>
      </c>
    </row>
    <row r="5" spans="1:5" x14ac:dyDescent="0.3">
      <c r="A5" t="s">
        <v>216</v>
      </c>
      <c r="C5" s="6">
        <v>0</v>
      </c>
    </row>
    <row r="6" spans="1:5" x14ac:dyDescent="0.3">
      <c r="C6" s="3">
        <f>SUM(C3:C5)</f>
        <v>0</v>
      </c>
      <c r="D6" t="s">
        <v>0</v>
      </c>
    </row>
    <row r="9" spans="1:5" x14ac:dyDescent="0.3">
      <c r="A9" s="2" t="s">
        <v>318</v>
      </c>
    </row>
    <row r="10" spans="1:5" x14ac:dyDescent="0.3">
      <c r="A10" s="5"/>
    </row>
    <row r="11" spans="1:5" x14ac:dyDescent="0.3">
      <c r="A11" s="1" t="s">
        <v>201</v>
      </c>
    </row>
    <row r="12" spans="1:5" x14ac:dyDescent="0.3">
      <c r="A12" t="s">
        <v>200</v>
      </c>
      <c r="D12">
        <v>4.37</v>
      </c>
      <c r="E12" t="s">
        <v>11</v>
      </c>
    </row>
    <row r="13" spans="1:5" x14ac:dyDescent="0.3">
      <c r="A13" t="s">
        <v>199</v>
      </c>
      <c r="D13">
        <v>876.2</v>
      </c>
      <c r="E13" t="s">
        <v>6</v>
      </c>
    </row>
    <row r="14" spans="1:5" x14ac:dyDescent="0.3">
      <c r="A14" t="s">
        <v>198</v>
      </c>
      <c r="D14">
        <v>0</v>
      </c>
      <c r="E14" t="s">
        <v>0</v>
      </c>
    </row>
    <row r="15" spans="1:5" x14ac:dyDescent="0.3">
      <c r="A15" t="s">
        <v>189</v>
      </c>
      <c r="D15">
        <f>D12*D13*D14</f>
        <v>0</v>
      </c>
      <c r="E15" t="s">
        <v>214</v>
      </c>
    </row>
    <row r="16" spans="1:5" x14ac:dyDescent="0.3">
      <c r="D16">
        <f>ROUNDUP(D15/27,0)</f>
        <v>0</v>
      </c>
      <c r="E16" t="s">
        <v>187</v>
      </c>
    </row>
    <row r="18" spans="1:5" x14ac:dyDescent="0.3">
      <c r="A18" s="1" t="s">
        <v>213</v>
      </c>
    </row>
    <row r="20" spans="1:5" x14ac:dyDescent="0.3">
      <c r="A20" t="s">
        <v>211</v>
      </c>
      <c r="D20">
        <v>0</v>
      </c>
      <c r="E20" t="s">
        <v>6</v>
      </c>
    </row>
    <row r="21" spans="1:5" x14ac:dyDescent="0.3">
      <c r="A21" t="s">
        <v>35</v>
      </c>
      <c r="D21">
        <v>42</v>
      </c>
      <c r="E21" t="s">
        <v>6</v>
      </c>
    </row>
    <row r="22" spans="1:5" x14ac:dyDescent="0.3">
      <c r="A22" t="s">
        <v>210</v>
      </c>
      <c r="D22">
        <v>9</v>
      </c>
      <c r="E22" t="s">
        <v>206</v>
      </c>
    </row>
    <row r="23" spans="1:5" x14ac:dyDescent="0.3">
      <c r="A23" t="s">
        <v>209</v>
      </c>
      <c r="D23">
        <v>2.5</v>
      </c>
      <c r="E23" t="s">
        <v>206</v>
      </c>
    </row>
    <row r="24" spans="1:5" x14ac:dyDescent="0.3">
      <c r="A24" t="s">
        <v>208</v>
      </c>
      <c r="D24">
        <v>11.55</v>
      </c>
      <c r="E24" t="s">
        <v>206</v>
      </c>
    </row>
    <row r="25" spans="1:5" x14ac:dyDescent="0.3">
      <c r="A25" s="188" t="s">
        <v>207</v>
      </c>
      <c r="B25" s="188"/>
    </row>
    <row r="26" spans="1:5" x14ac:dyDescent="0.3">
      <c r="A26" s="188"/>
      <c r="B26" s="188"/>
      <c r="D26">
        <v>2.5</v>
      </c>
      <c r="E26" t="s">
        <v>206</v>
      </c>
    </row>
    <row r="27" spans="1:5" x14ac:dyDescent="0.3">
      <c r="A27" t="s">
        <v>205</v>
      </c>
      <c r="D27">
        <v>2</v>
      </c>
      <c r="E27" t="s">
        <v>6</v>
      </c>
    </row>
    <row r="28" spans="1:5" x14ac:dyDescent="0.3">
      <c r="A28" t="s">
        <v>204</v>
      </c>
      <c r="D28">
        <v>1.333</v>
      </c>
      <c r="E28" t="s">
        <v>6</v>
      </c>
    </row>
    <row r="30" spans="1:5" x14ac:dyDescent="0.3">
      <c r="A30" t="s">
        <v>203</v>
      </c>
      <c r="D30">
        <f>(D20*D21*(D24/12))+(3*(D20*(D22/12+D28)*D23/12))+(2*(D20*(D22/12+D27+(D28/(2*12))*D26)))</f>
        <v>0</v>
      </c>
      <c r="E30" t="s">
        <v>188</v>
      </c>
    </row>
    <row r="31" spans="1:5" x14ac:dyDescent="0.3">
      <c r="D31">
        <f>D30/27</f>
        <v>0</v>
      </c>
      <c r="E31" t="s">
        <v>187</v>
      </c>
    </row>
    <row r="34" spans="1:5" x14ac:dyDescent="0.3">
      <c r="A34" s="1" t="s">
        <v>212</v>
      </c>
    </row>
    <row r="36" spans="1:5" x14ac:dyDescent="0.3">
      <c r="A36" t="s">
        <v>211</v>
      </c>
      <c r="D36">
        <v>0</v>
      </c>
      <c r="E36" t="s">
        <v>6</v>
      </c>
    </row>
    <row r="37" spans="1:5" x14ac:dyDescent="0.3">
      <c r="A37" t="s">
        <v>35</v>
      </c>
      <c r="D37">
        <v>42</v>
      </c>
      <c r="E37" t="s">
        <v>6</v>
      </c>
    </row>
    <row r="38" spans="1:5" x14ac:dyDescent="0.3">
      <c r="A38" t="s">
        <v>210</v>
      </c>
      <c r="D38">
        <v>9</v>
      </c>
      <c r="E38" t="s">
        <v>206</v>
      </c>
    </row>
    <row r="39" spans="1:5" ht="15" customHeight="1" x14ac:dyDescent="0.3">
      <c r="A39" t="s">
        <v>209</v>
      </c>
      <c r="D39">
        <v>2.5</v>
      </c>
      <c r="E39" t="s">
        <v>206</v>
      </c>
    </row>
    <row r="40" spans="1:5" x14ac:dyDescent="0.3">
      <c r="A40" t="s">
        <v>208</v>
      </c>
      <c r="D40">
        <v>11.55</v>
      </c>
      <c r="E40" t="s">
        <v>206</v>
      </c>
    </row>
    <row r="41" spans="1:5" x14ac:dyDescent="0.3">
      <c r="A41" s="188" t="s">
        <v>207</v>
      </c>
      <c r="B41" s="188"/>
    </row>
    <row r="42" spans="1:5" x14ac:dyDescent="0.3">
      <c r="A42" s="188"/>
      <c r="B42" s="188"/>
      <c r="D42">
        <v>2.5</v>
      </c>
      <c r="E42" t="s">
        <v>206</v>
      </c>
    </row>
    <row r="43" spans="1:5" x14ac:dyDescent="0.3">
      <c r="A43" t="s">
        <v>205</v>
      </c>
      <c r="D43">
        <v>2</v>
      </c>
      <c r="E43" t="s">
        <v>6</v>
      </c>
    </row>
    <row r="44" spans="1:5" x14ac:dyDescent="0.3">
      <c r="A44" t="s">
        <v>204</v>
      </c>
      <c r="D44">
        <v>1.333</v>
      </c>
      <c r="E44" t="s">
        <v>6</v>
      </c>
    </row>
    <row r="46" spans="1:5" x14ac:dyDescent="0.3">
      <c r="A46" t="s">
        <v>203</v>
      </c>
      <c r="D46">
        <f>(D36*D37*(D40/12))+(3*(D36*(D38/12+D44)*D39/12))+(2*(D36*(D38/12+D43+(D44/(2*12))*D42)))</f>
        <v>0</v>
      </c>
      <c r="E46" t="s">
        <v>188</v>
      </c>
    </row>
    <row r="47" spans="1:5" x14ac:dyDescent="0.3">
      <c r="D47">
        <f>D46/27</f>
        <v>0</v>
      </c>
      <c r="E47" t="s">
        <v>187</v>
      </c>
    </row>
    <row r="49" spans="1:6" x14ac:dyDescent="0.3">
      <c r="A49" s="3" t="s">
        <v>133</v>
      </c>
      <c r="B49" s="3"/>
      <c r="C49" s="3"/>
      <c r="D49" s="3">
        <f>ROUNDUP(D16+D31+D47,0)</f>
        <v>0</v>
      </c>
      <c r="E49" s="3" t="s">
        <v>187</v>
      </c>
    </row>
    <row r="51" spans="1:6" x14ac:dyDescent="0.3">
      <c r="A51" s="2" t="s">
        <v>202</v>
      </c>
    </row>
    <row r="53" spans="1:6" x14ac:dyDescent="0.3">
      <c r="A53" s="1" t="s">
        <v>201</v>
      </c>
    </row>
    <row r="54" spans="1:6" x14ac:dyDescent="0.3">
      <c r="A54" t="s">
        <v>369</v>
      </c>
      <c r="D54">
        <f>4+12</f>
        <v>16</v>
      </c>
      <c r="E54" t="s">
        <v>11</v>
      </c>
    </row>
    <row r="55" spans="1:6" x14ac:dyDescent="0.3">
      <c r="A55" t="s">
        <v>370</v>
      </c>
      <c r="D55">
        <v>1</v>
      </c>
      <c r="E55" t="s">
        <v>6</v>
      </c>
      <c r="F55" s="104"/>
    </row>
    <row r="56" spans="1:6" x14ac:dyDescent="0.3">
      <c r="A56" t="s">
        <v>198</v>
      </c>
      <c r="D56">
        <v>1</v>
      </c>
      <c r="E56" t="s">
        <v>0</v>
      </c>
    </row>
    <row r="57" spans="1:6" x14ac:dyDescent="0.3">
      <c r="A57" t="s">
        <v>197</v>
      </c>
      <c r="D57">
        <v>2</v>
      </c>
      <c r="E57" t="s">
        <v>196</v>
      </c>
    </row>
    <row r="58" spans="1:6" x14ac:dyDescent="0.3">
      <c r="A58" t="s">
        <v>195</v>
      </c>
      <c r="D58">
        <v>0</v>
      </c>
      <c r="E58" t="s">
        <v>0</v>
      </c>
    </row>
    <row r="60" spans="1:6" x14ac:dyDescent="0.3">
      <c r="A60" t="s">
        <v>189</v>
      </c>
      <c r="D60">
        <f>(D54*D55*D56/27)+(D57*D58)</f>
        <v>0.59259259259259256</v>
      </c>
      <c r="E60" t="s">
        <v>187</v>
      </c>
    </row>
    <row r="63" spans="1:6" x14ac:dyDescent="0.3">
      <c r="A63" s="1" t="s">
        <v>194</v>
      </c>
    </row>
    <row r="65" spans="1:6" x14ac:dyDescent="0.3">
      <c r="A65" t="s">
        <v>192</v>
      </c>
      <c r="D65">
        <v>1.25</v>
      </c>
      <c r="E65" t="s">
        <v>6</v>
      </c>
    </row>
    <row r="66" spans="1:6" x14ac:dyDescent="0.3">
      <c r="A66" t="s">
        <v>191</v>
      </c>
      <c r="D66">
        <v>0</v>
      </c>
      <c r="E66" t="s">
        <v>6</v>
      </c>
    </row>
    <row r="67" spans="1:6" x14ac:dyDescent="0.3">
      <c r="A67" t="s">
        <v>190</v>
      </c>
      <c r="D67">
        <v>1.7</v>
      </c>
      <c r="E67" t="s">
        <v>6</v>
      </c>
    </row>
    <row r="69" spans="1:6" x14ac:dyDescent="0.3">
      <c r="A69" t="s">
        <v>189</v>
      </c>
      <c r="D69">
        <f>D65*D66*D67</f>
        <v>0</v>
      </c>
      <c r="E69" t="s">
        <v>188</v>
      </c>
    </row>
    <row r="70" spans="1:6" x14ac:dyDescent="0.3">
      <c r="D70">
        <f>D69/27</f>
        <v>0</v>
      </c>
      <c r="E70" t="s">
        <v>187</v>
      </c>
    </row>
    <row r="72" spans="1:6" x14ac:dyDescent="0.3">
      <c r="A72" s="1" t="s">
        <v>193</v>
      </c>
    </row>
    <row r="74" spans="1:6" x14ac:dyDescent="0.3">
      <c r="A74" t="s">
        <v>192</v>
      </c>
      <c r="D74">
        <v>1.25</v>
      </c>
      <c r="E74" t="s">
        <v>6</v>
      </c>
    </row>
    <row r="75" spans="1:6" x14ac:dyDescent="0.3">
      <c r="A75" t="s">
        <v>191</v>
      </c>
      <c r="D75">
        <v>0</v>
      </c>
      <c r="E75" t="s">
        <v>6</v>
      </c>
    </row>
    <row r="76" spans="1:6" x14ac:dyDescent="0.3">
      <c r="A76" t="s">
        <v>190</v>
      </c>
      <c r="D76">
        <v>1.7</v>
      </c>
      <c r="E76" t="s">
        <v>6</v>
      </c>
    </row>
    <row r="78" spans="1:6" x14ac:dyDescent="0.3">
      <c r="A78" t="s">
        <v>189</v>
      </c>
      <c r="D78">
        <f>D74*D75*D76</f>
        <v>0</v>
      </c>
      <c r="E78" t="s">
        <v>188</v>
      </c>
    </row>
    <row r="79" spans="1:6" x14ac:dyDescent="0.3">
      <c r="D79">
        <f>D78/27</f>
        <v>0</v>
      </c>
      <c r="E79" t="s">
        <v>187</v>
      </c>
    </row>
    <row r="80" spans="1:6" x14ac:dyDescent="0.3">
      <c r="F80">
        <v>0</v>
      </c>
    </row>
    <row r="81" spans="1:5" x14ac:dyDescent="0.3">
      <c r="A81" s="3" t="s">
        <v>21</v>
      </c>
      <c r="B81" s="3"/>
      <c r="C81" s="3"/>
      <c r="D81" s="3">
        <f>ROUNDUP((D60+D70+D79),0)</f>
        <v>1</v>
      </c>
      <c r="E81" s="3" t="s">
        <v>187</v>
      </c>
    </row>
    <row r="85" spans="1:5" x14ac:dyDescent="0.3">
      <c r="A85" s="107" t="s">
        <v>419</v>
      </c>
      <c r="B85" s="1"/>
      <c r="C85" s="1"/>
      <c r="D85" s="1"/>
      <c r="E85" s="1"/>
    </row>
    <row r="86" spans="1:5" x14ac:dyDescent="0.3">
      <c r="A86" s="5"/>
    </row>
    <row r="87" spans="1:5" x14ac:dyDescent="0.3">
      <c r="A87" s="6" t="s">
        <v>420</v>
      </c>
      <c r="B87" s="6"/>
      <c r="C87" s="6"/>
    </row>
    <row r="88" spans="1:5" x14ac:dyDescent="0.3">
      <c r="A88" t="s">
        <v>169</v>
      </c>
      <c r="D88">
        <v>156</v>
      </c>
      <c r="E88" t="s">
        <v>6</v>
      </c>
    </row>
    <row r="89" spans="1:5" x14ac:dyDescent="0.3">
      <c r="A89" t="s">
        <v>168</v>
      </c>
      <c r="D89">
        <v>5</v>
      </c>
      <c r="E89" t="s">
        <v>6</v>
      </c>
    </row>
    <row r="90" spans="1:5" x14ac:dyDescent="0.3">
      <c r="A90" t="s">
        <v>167</v>
      </c>
      <c r="D90">
        <v>2</v>
      </c>
    </row>
    <row r="91" spans="1:5" x14ac:dyDescent="0.3">
      <c r="A91" t="s">
        <v>166</v>
      </c>
      <c r="D91">
        <f>D88*D89*D90</f>
        <v>1560</v>
      </c>
      <c r="E91" t="s">
        <v>3</v>
      </c>
    </row>
    <row r="92" spans="1:5" x14ac:dyDescent="0.3">
      <c r="D92" s="8">
        <f>D91/9</f>
        <v>173.33333333333334</v>
      </c>
      <c r="E92" t="s">
        <v>2</v>
      </c>
    </row>
    <row r="93" spans="1:5" x14ac:dyDescent="0.3">
      <c r="D93" s="8"/>
    </row>
    <row r="94" spans="1:5" x14ac:dyDescent="0.3">
      <c r="A94" s="6" t="s">
        <v>422</v>
      </c>
      <c r="B94" s="6"/>
    </row>
    <row r="95" spans="1:5" x14ac:dyDescent="0.3">
      <c r="A95" t="s">
        <v>143</v>
      </c>
      <c r="D95">
        <v>25</v>
      </c>
      <c r="E95" t="s">
        <v>6</v>
      </c>
    </row>
    <row r="96" spans="1:5" x14ac:dyDescent="0.3">
      <c r="A96" t="s">
        <v>424</v>
      </c>
      <c r="D96">
        <v>5</v>
      </c>
      <c r="E96" t="s">
        <v>6</v>
      </c>
    </row>
    <row r="97" spans="1:5" x14ac:dyDescent="0.3">
      <c r="A97" t="s">
        <v>167</v>
      </c>
      <c r="D97">
        <v>4</v>
      </c>
    </row>
    <row r="98" spans="1:5" x14ac:dyDescent="0.3">
      <c r="A98" t="s">
        <v>166</v>
      </c>
      <c r="D98">
        <f>D95*D96*D97</f>
        <v>500</v>
      </c>
      <c r="E98" t="s">
        <v>3</v>
      </c>
    </row>
    <row r="99" spans="1:5" x14ac:dyDescent="0.3">
      <c r="D99" s="8">
        <f>D98/9</f>
        <v>55.555555555555557</v>
      </c>
      <c r="E99" t="s">
        <v>2</v>
      </c>
    </row>
    <row r="100" spans="1:5" x14ac:dyDescent="0.3">
      <c r="D100" s="8"/>
    </row>
    <row r="101" spans="1:5" ht="13.8" customHeight="1" x14ac:dyDescent="0.3">
      <c r="A101" t="s">
        <v>426</v>
      </c>
      <c r="D101" s="8">
        <f>ROUNDUP(D92+D99,0)</f>
        <v>229</v>
      </c>
      <c r="E101" t="s">
        <v>2</v>
      </c>
    </row>
    <row r="103" spans="1:5" x14ac:dyDescent="0.3">
      <c r="B103" s="1"/>
      <c r="C103" s="1"/>
      <c r="D103" s="1"/>
      <c r="E103" s="1"/>
    </row>
    <row r="104" spans="1:5" x14ac:dyDescent="0.3">
      <c r="A104" s="107" t="s">
        <v>418</v>
      </c>
      <c r="B104" s="1"/>
      <c r="C104" s="1"/>
      <c r="D104" s="1"/>
      <c r="E104" s="1"/>
    </row>
    <row r="105" spans="1:5" x14ac:dyDescent="0.3">
      <c r="A105" s="5"/>
    </row>
    <row r="106" spans="1:5" x14ac:dyDescent="0.3">
      <c r="A106" s="6" t="s">
        <v>421</v>
      </c>
      <c r="B106" s="6"/>
    </row>
    <row r="107" spans="1:5" x14ac:dyDescent="0.3">
      <c r="A107" t="s">
        <v>169</v>
      </c>
      <c r="D107">
        <v>156</v>
      </c>
      <c r="E107" t="s">
        <v>6</v>
      </c>
    </row>
    <row r="108" spans="1:5" x14ac:dyDescent="0.3">
      <c r="A108" t="s">
        <v>168</v>
      </c>
      <c r="D108">
        <v>6.5</v>
      </c>
      <c r="E108" t="s">
        <v>6</v>
      </c>
    </row>
    <row r="109" spans="1:5" x14ac:dyDescent="0.3">
      <c r="A109" t="s">
        <v>167</v>
      </c>
      <c r="D109">
        <v>2</v>
      </c>
    </row>
    <row r="110" spans="1:5" x14ac:dyDescent="0.3">
      <c r="A110" t="s">
        <v>166</v>
      </c>
      <c r="D110">
        <f>D107*D108*D109</f>
        <v>2028</v>
      </c>
      <c r="E110" t="s">
        <v>3</v>
      </c>
    </row>
    <row r="111" spans="1:5" x14ac:dyDescent="0.3">
      <c r="D111" s="8">
        <f>D110/9</f>
        <v>225.33333333333334</v>
      </c>
      <c r="E111" t="s">
        <v>2</v>
      </c>
    </row>
    <row r="113" spans="1:9" x14ac:dyDescent="0.3">
      <c r="A113" s="6" t="s">
        <v>423</v>
      </c>
      <c r="B113" s="6"/>
    </row>
    <row r="114" spans="1:9" x14ac:dyDescent="0.3">
      <c r="A114" t="s">
        <v>143</v>
      </c>
      <c r="D114">
        <v>25</v>
      </c>
      <c r="E114" t="s">
        <v>6</v>
      </c>
    </row>
    <row r="115" spans="1:9" x14ac:dyDescent="0.3">
      <c r="A115" t="s">
        <v>425</v>
      </c>
      <c r="D115">
        <v>6</v>
      </c>
      <c r="E115" t="s">
        <v>6</v>
      </c>
    </row>
    <row r="116" spans="1:9" x14ac:dyDescent="0.3">
      <c r="A116" t="s">
        <v>167</v>
      </c>
      <c r="D116">
        <v>4</v>
      </c>
    </row>
    <row r="117" spans="1:9" x14ac:dyDescent="0.3">
      <c r="A117" t="s">
        <v>166</v>
      </c>
      <c r="D117">
        <f>D114*D115*D116</f>
        <v>600</v>
      </c>
      <c r="E117" t="s">
        <v>3</v>
      </c>
    </row>
    <row r="118" spans="1:9" x14ac:dyDescent="0.3">
      <c r="D118" s="8">
        <f>D117/9</f>
        <v>66.666666666666671</v>
      </c>
      <c r="E118" t="s">
        <v>2</v>
      </c>
      <c r="I118">
        <f>226+67</f>
        <v>293</v>
      </c>
    </row>
    <row r="120" spans="1:9" x14ac:dyDescent="0.3">
      <c r="A120" s="1" t="s">
        <v>185</v>
      </c>
    </row>
    <row r="121" spans="1:9" x14ac:dyDescent="0.3">
      <c r="A121" t="s">
        <v>184</v>
      </c>
      <c r="D121">
        <v>0</v>
      </c>
    </row>
    <row r="122" spans="1:9" x14ac:dyDescent="0.3">
      <c r="A122" t="s">
        <v>183</v>
      </c>
      <c r="D122">
        <v>3</v>
      </c>
      <c r="E122" t="s">
        <v>6</v>
      </c>
    </row>
    <row r="123" spans="1:9" x14ac:dyDescent="0.3">
      <c r="A123" t="s">
        <v>182</v>
      </c>
      <c r="D123">
        <f>D122*4</f>
        <v>12</v>
      </c>
      <c r="E123" t="s">
        <v>3</v>
      </c>
    </row>
    <row r="124" spans="1:9" x14ac:dyDescent="0.3">
      <c r="A124" t="s">
        <v>181</v>
      </c>
      <c r="D124">
        <v>2</v>
      </c>
    </row>
    <row r="126" spans="1:9" x14ac:dyDescent="0.3">
      <c r="A126" t="s">
        <v>180</v>
      </c>
      <c r="D126">
        <f>D122*3</f>
        <v>9</v>
      </c>
      <c r="E126" t="s">
        <v>3</v>
      </c>
    </row>
    <row r="127" spans="1:9" x14ac:dyDescent="0.3">
      <c r="A127" t="s">
        <v>179</v>
      </c>
      <c r="D127">
        <v>2</v>
      </c>
    </row>
    <row r="129" spans="1:9" x14ac:dyDescent="0.3">
      <c r="A129" t="s">
        <v>178</v>
      </c>
      <c r="D129">
        <f>D122*(4+5.5)/2</f>
        <v>14.25</v>
      </c>
      <c r="E129" t="s">
        <v>3</v>
      </c>
    </row>
    <row r="130" spans="1:9" x14ac:dyDescent="0.3">
      <c r="A130" t="s">
        <v>177</v>
      </c>
      <c r="D130">
        <v>4</v>
      </c>
    </row>
    <row r="132" spans="1:9" x14ac:dyDescent="0.3">
      <c r="A132" t="s">
        <v>176</v>
      </c>
    </row>
    <row r="133" spans="1:9" x14ac:dyDescent="0.3">
      <c r="A133" t="s">
        <v>175</v>
      </c>
      <c r="D133">
        <f>ATAN(7.5/15)*180/PI()</f>
        <v>26.56505117707799</v>
      </c>
      <c r="E133" t="s">
        <v>33</v>
      </c>
    </row>
    <row r="134" spans="1:9" x14ac:dyDescent="0.3">
      <c r="A134" t="s">
        <v>174</v>
      </c>
      <c r="D134" s="8">
        <f>3/COS(D133*PI()/180)</f>
        <v>3.3541019662496847</v>
      </c>
      <c r="E134" t="s">
        <v>6</v>
      </c>
    </row>
    <row r="135" spans="1:9" x14ac:dyDescent="0.3">
      <c r="A135" t="s">
        <v>173</v>
      </c>
      <c r="D135" s="8">
        <f>D122*D134</f>
        <v>10.062305898749054</v>
      </c>
      <c r="E135" t="s">
        <v>3</v>
      </c>
    </row>
    <row r="136" spans="1:9" x14ac:dyDescent="0.3">
      <c r="A136" t="s">
        <v>172</v>
      </c>
      <c r="D136">
        <v>2</v>
      </c>
    </row>
    <row r="138" spans="1:9" x14ac:dyDescent="0.3">
      <c r="A138" t="s">
        <v>145</v>
      </c>
      <c r="D138">
        <f>D121*(D123*D124+D126*D127+D129*D130+D135*D136)</f>
        <v>0</v>
      </c>
      <c r="E138" t="s">
        <v>3</v>
      </c>
    </row>
    <row r="139" spans="1:9" x14ac:dyDescent="0.3">
      <c r="D139">
        <f>D138/9</f>
        <v>0</v>
      </c>
      <c r="E139" t="s">
        <v>2</v>
      </c>
    </row>
    <row r="141" spans="1:9" x14ac:dyDescent="0.3">
      <c r="A141" s="6" t="s">
        <v>164</v>
      </c>
      <c r="B141" s="6"/>
      <c r="C141" s="6"/>
      <c r="D141" s="6"/>
      <c r="E141" s="6"/>
      <c r="F141" s="6"/>
      <c r="G141" s="6"/>
      <c r="H141" s="6"/>
      <c r="I141" s="6"/>
    </row>
    <row r="143" spans="1:9" x14ac:dyDescent="0.3">
      <c r="A143" t="s">
        <v>162</v>
      </c>
      <c r="D143">
        <v>2</v>
      </c>
      <c r="E143" t="s">
        <v>6</v>
      </c>
    </row>
    <row r="144" spans="1:9" x14ac:dyDescent="0.3">
      <c r="A144" t="s">
        <v>161</v>
      </c>
      <c r="D144">
        <v>82</v>
      </c>
      <c r="E144" t="s">
        <v>6</v>
      </c>
    </row>
    <row r="145" spans="1:9" x14ac:dyDescent="0.3">
      <c r="A145" t="s">
        <v>160</v>
      </c>
      <c r="D145">
        <v>2.5</v>
      </c>
      <c r="E145" t="s">
        <v>6</v>
      </c>
    </row>
    <row r="146" spans="1:9" x14ac:dyDescent="0.3">
      <c r="A146" t="s">
        <v>159</v>
      </c>
      <c r="D146">
        <v>1.75</v>
      </c>
      <c r="E146" t="s">
        <v>6</v>
      </c>
    </row>
    <row r="147" spans="1:9" x14ac:dyDescent="0.3">
      <c r="A147" t="s">
        <v>158</v>
      </c>
      <c r="D147">
        <v>5</v>
      </c>
      <c r="E147" t="s">
        <v>6</v>
      </c>
    </row>
    <row r="148" spans="1:9" x14ac:dyDescent="0.3">
      <c r="A148" t="s">
        <v>157</v>
      </c>
      <c r="D148">
        <v>4.75</v>
      </c>
      <c r="E148" t="s">
        <v>6</v>
      </c>
    </row>
    <row r="150" spans="1:9" x14ac:dyDescent="0.3">
      <c r="A150" t="s">
        <v>156</v>
      </c>
      <c r="D150">
        <f>D144*D145</f>
        <v>205</v>
      </c>
      <c r="E150" t="s">
        <v>3</v>
      </c>
    </row>
    <row r="151" spans="1:9" x14ac:dyDescent="0.3">
      <c r="A151" t="s">
        <v>155</v>
      </c>
      <c r="D151">
        <f>D144*D143</f>
        <v>164</v>
      </c>
      <c r="E151" t="s">
        <v>3</v>
      </c>
    </row>
    <row r="152" spans="1:9" x14ac:dyDescent="0.3">
      <c r="A152" t="s">
        <v>154</v>
      </c>
      <c r="D152">
        <f>2*(D143*D145)</f>
        <v>10</v>
      </c>
      <c r="E152" t="s">
        <v>3</v>
      </c>
    </row>
    <row r="153" spans="1:9" x14ac:dyDescent="0.3">
      <c r="A153" t="s">
        <v>153</v>
      </c>
      <c r="D153">
        <f>4*D143*D148</f>
        <v>38</v>
      </c>
      <c r="E153" t="s">
        <v>3</v>
      </c>
    </row>
    <row r="154" spans="1:9" ht="15" customHeight="1" x14ac:dyDescent="0.3">
      <c r="A154" s="84" t="s">
        <v>152</v>
      </c>
      <c r="B154" s="25"/>
      <c r="D154">
        <f>D147*D144</f>
        <v>410</v>
      </c>
      <c r="E154" t="s">
        <v>3</v>
      </c>
    </row>
    <row r="155" spans="1:9" x14ac:dyDescent="0.3">
      <c r="A155" s="25"/>
      <c r="B155" s="25"/>
      <c r="I155" s="105"/>
    </row>
    <row r="156" spans="1:9" x14ac:dyDescent="0.3">
      <c r="A156" s="84" t="s">
        <v>151</v>
      </c>
      <c r="B156" s="71"/>
      <c r="D156">
        <v>10</v>
      </c>
      <c r="E156" t="s">
        <v>6</v>
      </c>
    </row>
    <row r="157" spans="1:9" x14ac:dyDescent="0.3">
      <c r="A157" s="84" t="s">
        <v>150</v>
      </c>
      <c r="B157" s="71"/>
      <c r="D157">
        <v>15.75</v>
      </c>
      <c r="E157" t="s">
        <v>6</v>
      </c>
    </row>
    <row r="158" spans="1:9" x14ac:dyDescent="0.3">
      <c r="A158" s="84" t="s">
        <v>149</v>
      </c>
      <c r="B158" s="71"/>
      <c r="D158">
        <f>D156*D157</f>
        <v>157.5</v>
      </c>
      <c r="E158" t="s">
        <v>3</v>
      </c>
    </row>
    <row r="159" spans="1:9" x14ac:dyDescent="0.3">
      <c r="A159" s="84" t="s">
        <v>148</v>
      </c>
      <c r="B159" s="82"/>
      <c r="D159">
        <v>2</v>
      </c>
      <c r="E159" t="s">
        <v>0</v>
      </c>
    </row>
    <row r="160" spans="1:9" x14ac:dyDescent="0.3">
      <c r="A160" s="84"/>
      <c r="B160" s="71"/>
    </row>
    <row r="161" spans="1:9" ht="15" customHeight="1" x14ac:dyDescent="0.3">
      <c r="A161" s="84" t="s">
        <v>147</v>
      </c>
      <c r="B161" s="82"/>
      <c r="D161">
        <v>40</v>
      </c>
      <c r="E161" t="s">
        <v>3</v>
      </c>
    </row>
    <row r="162" spans="1:9" x14ac:dyDescent="0.3">
      <c r="A162" s="84" t="s">
        <v>146</v>
      </c>
      <c r="B162" s="82"/>
      <c r="D162">
        <v>2</v>
      </c>
      <c r="E162" t="s">
        <v>0</v>
      </c>
    </row>
    <row r="163" spans="1:9" x14ac:dyDescent="0.3">
      <c r="A163" s="82"/>
      <c r="B163" s="82"/>
    </row>
    <row r="165" spans="1:9" x14ac:dyDescent="0.3">
      <c r="A165" t="s">
        <v>145</v>
      </c>
      <c r="D165" s="8">
        <f>D150+D151+D152+D153+D154+(D158*D159)+(D161*D162)</f>
        <v>1222</v>
      </c>
      <c r="E165" t="s">
        <v>3</v>
      </c>
    </row>
    <row r="166" spans="1:9" x14ac:dyDescent="0.3">
      <c r="D166" s="8">
        <f>D165/9</f>
        <v>135.77777777777777</v>
      </c>
      <c r="E166" t="s">
        <v>2</v>
      </c>
    </row>
    <row r="169" spans="1:9" x14ac:dyDescent="0.3">
      <c r="A169" s="6" t="s">
        <v>163</v>
      </c>
      <c r="B169" s="6"/>
      <c r="C169" s="6"/>
      <c r="D169" s="6"/>
      <c r="E169" s="6"/>
      <c r="F169" s="6"/>
      <c r="G169" s="6"/>
      <c r="H169" s="6"/>
      <c r="I169" s="6"/>
    </row>
    <row r="171" spans="1:9" x14ac:dyDescent="0.3">
      <c r="A171" t="s">
        <v>162</v>
      </c>
      <c r="D171">
        <v>2</v>
      </c>
      <c r="E171" t="s">
        <v>6</v>
      </c>
    </row>
    <row r="172" spans="1:9" x14ac:dyDescent="0.3">
      <c r="A172" t="s">
        <v>161</v>
      </c>
      <c r="D172">
        <v>82</v>
      </c>
      <c r="E172" t="s">
        <v>6</v>
      </c>
    </row>
    <row r="173" spans="1:9" x14ac:dyDescent="0.3">
      <c r="A173" t="s">
        <v>160</v>
      </c>
      <c r="D173">
        <v>2.5</v>
      </c>
      <c r="E173" t="s">
        <v>6</v>
      </c>
    </row>
    <row r="174" spans="1:9" x14ac:dyDescent="0.3">
      <c r="A174" t="s">
        <v>159</v>
      </c>
      <c r="D174">
        <v>1.75</v>
      </c>
      <c r="E174" t="s">
        <v>6</v>
      </c>
    </row>
    <row r="175" spans="1:9" x14ac:dyDescent="0.3">
      <c r="A175" t="s">
        <v>158</v>
      </c>
      <c r="D175">
        <v>5</v>
      </c>
      <c r="E175" t="s">
        <v>6</v>
      </c>
    </row>
    <row r="176" spans="1:9" x14ac:dyDescent="0.3">
      <c r="A176" t="s">
        <v>157</v>
      </c>
      <c r="D176">
        <v>4.75</v>
      </c>
      <c r="E176" t="s">
        <v>6</v>
      </c>
    </row>
    <row r="178" spans="1:5" x14ac:dyDescent="0.3">
      <c r="A178" t="s">
        <v>156</v>
      </c>
      <c r="D178">
        <f>D172*D173</f>
        <v>205</v>
      </c>
      <c r="E178" t="s">
        <v>3</v>
      </c>
    </row>
    <row r="179" spans="1:5" x14ac:dyDescent="0.3">
      <c r="A179" t="s">
        <v>155</v>
      </c>
      <c r="D179">
        <f>D172*D171</f>
        <v>164</v>
      </c>
      <c r="E179" t="s">
        <v>3</v>
      </c>
    </row>
    <row r="180" spans="1:5" x14ac:dyDescent="0.3">
      <c r="A180" t="s">
        <v>154</v>
      </c>
      <c r="D180">
        <f>2*(D171*D173)</f>
        <v>10</v>
      </c>
      <c r="E180" t="s">
        <v>3</v>
      </c>
    </row>
    <row r="181" spans="1:5" ht="15" customHeight="1" x14ac:dyDescent="0.3">
      <c r="A181" t="s">
        <v>153</v>
      </c>
      <c r="D181">
        <f>4*D171*D176</f>
        <v>38</v>
      </c>
      <c r="E181" t="s">
        <v>3</v>
      </c>
    </row>
    <row r="182" spans="1:5" x14ac:dyDescent="0.3">
      <c r="A182" s="84" t="s">
        <v>152</v>
      </c>
      <c r="B182" s="25"/>
      <c r="D182">
        <f>D175*D172</f>
        <v>410</v>
      </c>
      <c r="E182" t="s">
        <v>3</v>
      </c>
    </row>
    <row r="183" spans="1:5" x14ac:dyDescent="0.3">
      <c r="A183" s="25"/>
      <c r="B183" s="25"/>
    </row>
    <row r="184" spans="1:5" x14ac:dyDescent="0.3">
      <c r="A184" s="84" t="s">
        <v>151</v>
      </c>
      <c r="B184" s="71"/>
      <c r="D184">
        <v>10</v>
      </c>
      <c r="E184" t="s">
        <v>6</v>
      </c>
    </row>
    <row r="185" spans="1:5" x14ac:dyDescent="0.3">
      <c r="A185" s="84" t="s">
        <v>150</v>
      </c>
      <c r="B185" s="71"/>
      <c r="D185">
        <v>15.75</v>
      </c>
      <c r="E185" t="s">
        <v>6</v>
      </c>
    </row>
    <row r="186" spans="1:5" x14ac:dyDescent="0.3">
      <c r="A186" s="84" t="s">
        <v>149</v>
      </c>
      <c r="B186" s="71"/>
      <c r="D186">
        <f>D184*D185</f>
        <v>157.5</v>
      </c>
      <c r="E186" t="s">
        <v>3</v>
      </c>
    </row>
    <row r="187" spans="1:5" x14ac:dyDescent="0.3">
      <c r="A187" s="84" t="s">
        <v>148</v>
      </c>
      <c r="B187" s="82"/>
      <c r="D187">
        <v>2</v>
      </c>
      <c r="E187" t="s">
        <v>0</v>
      </c>
    </row>
    <row r="188" spans="1:5" ht="15" customHeight="1" x14ac:dyDescent="0.3">
      <c r="A188" s="84"/>
      <c r="B188" s="71"/>
    </row>
    <row r="189" spans="1:5" x14ac:dyDescent="0.3">
      <c r="A189" s="84" t="s">
        <v>147</v>
      </c>
      <c r="B189" s="82"/>
      <c r="D189">
        <v>40</v>
      </c>
      <c r="E189" t="s">
        <v>3</v>
      </c>
    </row>
    <row r="190" spans="1:5" x14ac:dyDescent="0.3">
      <c r="A190" s="84" t="s">
        <v>146</v>
      </c>
      <c r="B190" s="82"/>
      <c r="D190">
        <v>2</v>
      </c>
      <c r="E190" t="s">
        <v>0</v>
      </c>
    </row>
    <row r="191" spans="1:5" x14ac:dyDescent="0.3">
      <c r="A191" s="82"/>
      <c r="B191" s="82"/>
    </row>
    <row r="193" spans="1:6" x14ac:dyDescent="0.3">
      <c r="A193" t="s">
        <v>145</v>
      </c>
      <c r="D193" s="8">
        <f>D178+D179+D180+D181+D182+(D186*D187)+(D189*D190)</f>
        <v>1222</v>
      </c>
      <c r="E193" t="s">
        <v>3</v>
      </c>
    </row>
    <row r="194" spans="1:6" x14ac:dyDescent="0.3">
      <c r="D194" s="8">
        <f>D193/9</f>
        <v>135.77777777777777</v>
      </c>
      <c r="E194" t="s">
        <v>2</v>
      </c>
    </row>
    <row r="196" spans="1:6" x14ac:dyDescent="0.3">
      <c r="A196" s="3" t="s">
        <v>144</v>
      </c>
      <c r="B196" s="3"/>
      <c r="C196" s="3"/>
      <c r="D196" s="4">
        <f>ROUNDUP(D111+D118+D139+D166+D194,0)</f>
        <v>564</v>
      </c>
      <c r="E196" s="3" t="s">
        <v>2</v>
      </c>
    </row>
    <row r="199" spans="1:6" x14ac:dyDescent="0.3">
      <c r="A199" s="2" t="s">
        <v>171</v>
      </c>
    </row>
    <row r="201" spans="1:6" x14ac:dyDescent="0.3">
      <c r="A201" s="6" t="s">
        <v>170</v>
      </c>
      <c r="B201" s="6"/>
    </row>
    <row r="202" spans="1:6" x14ac:dyDescent="0.3">
      <c r="A202" t="s">
        <v>169</v>
      </c>
      <c r="D202">
        <v>156</v>
      </c>
      <c r="E202" t="s">
        <v>6</v>
      </c>
    </row>
    <row r="203" spans="1:6" x14ac:dyDescent="0.3">
      <c r="A203" t="s">
        <v>168</v>
      </c>
      <c r="D203">
        <v>10.5</v>
      </c>
      <c r="E203" t="s">
        <v>6</v>
      </c>
      <c r="F203">
        <f>(2.67+1.5+2.67+0.92+2.75)</f>
        <v>10.51</v>
      </c>
    </row>
    <row r="204" spans="1:6" x14ac:dyDescent="0.3">
      <c r="A204" t="s">
        <v>167</v>
      </c>
      <c r="D204">
        <v>2</v>
      </c>
    </row>
    <row r="205" spans="1:6" x14ac:dyDescent="0.3">
      <c r="A205" t="s">
        <v>166</v>
      </c>
      <c r="D205">
        <f>D202*D203*D204</f>
        <v>3276</v>
      </c>
      <c r="E205" t="s">
        <v>3</v>
      </c>
    </row>
    <row r="206" spans="1:6" x14ac:dyDescent="0.3">
      <c r="D206" s="161">
        <f>D205/9</f>
        <v>364</v>
      </c>
      <c r="E206" t="s">
        <v>2</v>
      </c>
      <c r="F206" s="104"/>
    </row>
    <row r="207" spans="1:6" x14ac:dyDescent="0.3">
      <c r="D207" s="168"/>
    </row>
    <row r="209" spans="1:9" x14ac:dyDescent="0.3">
      <c r="A209" s="6" t="s">
        <v>164</v>
      </c>
      <c r="B209" s="6"/>
      <c r="C209" s="6"/>
      <c r="D209" s="6"/>
      <c r="E209" s="6"/>
      <c r="F209" s="6"/>
      <c r="G209" s="6"/>
      <c r="H209" s="6"/>
      <c r="I209" s="6"/>
    </row>
    <row r="211" spans="1:9" x14ac:dyDescent="0.3">
      <c r="A211" t="s">
        <v>162</v>
      </c>
      <c r="D211">
        <v>2</v>
      </c>
      <c r="E211" t="s">
        <v>6</v>
      </c>
    </row>
    <row r="212" spans="1:9" x14ac:dyDescent="0.3">
      <c r="A212" t="s">
        <v>161</v>
      </c>
      <c r="D212">
        <v>48.17</v>
      </c>
      <c r="E212" t="s">
        <v>6</v>
      </c>
    </row>
    <row r="213" spans="1:9" x14ac:dyDescent="0.3">
      <c r="A213" t="s">
        <v>160</v>
      </c>
      <c r="D213">
        <v>2.5</v>
      </c>
      <c r="E213" t="s">
        <v>6</v>
      </c>
    </row>
    <row r="214" spans="1:9" x14ac:dyDescent="0.3">
      <c r="A214" t="s">
        <v>159</v>
      </c>
      <c r="D214">
        <v>1.75</v>
      </c>
      <c r="E214" t="s">
        <v>6</v>
      </c>
    </row>
    <row r="215" spans="1:9" x14ac:dyDescent="0.3">
      <c r="A215" t="s">
        <v>158</v>
      </c>
      <c r="D215">
        <v>8</v>
      </c>
      <c r="E215" t="s">
        <v>6</v>
      </c>
    </row>
    <row r="216" spans="1:9" x14ac:dyDescent="0.3">
      <c r="A216" t="s">
        <v>157</v>
      </c>
      <c r="D216">
        <v>7.75</v>
      </c>
      <c r="E216" t="s">
        <v>6</v>
      </c>
    </row>
    <row r="218" spans="1:9" x14ac:dyDescent="0.3">
      <c r="A218" t="s">
        <v>156</v>
      </c>
      <c r="D218">
        <f>D212*D213</f>
        <v>120.42500000000001</v>
      </c>
      <c r="E218" t="s">
        <v>3</v>
      </c>
    </row>
    <row r="219" spans="1:9" x14ac:dyDescent="0.3">
      <c r="A219" t="s">
        <v>155</v>
      </c>
      <c r="D219">
        <f>D212*D211</f>
        <v>96.34</v>
      </c>
      <c r="E219" t="s">
        <v>3</v>
      </c>
    </row>
    <row r="220" spans="1:9" x14ac:dyDescent="0.3">
      <c r="A220" t="s">
        <v>154</v>
      </c>
      <c r="D220">
        <f>2*(D211*D213)</f>
        <v>10</v>
      </c>
      <c r="E220" t="s">
        <v>3</v>
      </c>
    </row>
    <row r="221" spans="1:9" x14ac:dyDescent="0.3">
      <c r="A221" t="s">
        <v>153</v>
      </c>
      <c r="D221">
        <f>4*D211*D216</f>
        <v>62</v>
      </c>
      <c r="E221" t="s">
        <v>3</v>
      </c>
    </row>
    <row r="222" spans="1:9" ht="15" customHeight="1" x14ac:dyDescent="0.3">
      <c r="A222" s="84" t="s">
        <v>152</v>
      </c>
      <c r="B222" s="25"/>
      <c r="D222">
        <f>D215*D212</f>
        <v>385.36</v>
      </c>
      <c r="E222" t="s">
        <v>3</v>
      </c>
    </row>
    <row r="223" spans="1:9" x14ac:dyDescent="0.3">
      <c r="A223" s="25"/>
      <c r="B223" s="25"/>
      <c r="I223" s="105"/>
    </row>
    <row r="224" spans="1:9" x14ac:dyDescent="0.3">
      <c r="A224" s="84" t="s">
        <v>151</v>
      </c>
      <c r="B224" s="71"/>
      <c r="D224">
        <v>7.5</v>
      </c>
      <c r="E224" t="s">
        <v>6</v>
      </c>
    </row>
    <row r="225" spans="1:9" x14ac:dyDescent="0.3">
      <c r="A225" s="84" t="s">
        <v>150</v>
      </c>
      <c r="B225" s="71"/>
      <c r="D225">
        <v>29</v>
      </c>
      <c r="E225" t="s">
        <v>6</v>
      </c>
    </row>
    <row r="226" spans="1:9" x14ac:dyDescent="0.3">
      <c r="A226" s="84" t="s">
        <v>149</v>
      </c>
      <c r="B226" s="71"/>
      <c r="D226">
        <f>D224*D225</f>
        <v>217.5</v>
      </c>
      <c r="E226" t="s">
        <v>3</v>
      </c>
    </row>
    <row r="227" spans="1:9" x14ac:dyDescent="0.3">
      <c r="A227" s="84" t="s">
        <v>148</v>
      </c>
      <c r="B227" s="82"/>
      <c r="D227">
        <v>2</v>
      </c>
      <c r="E227" t="s">
        <v>0</v>
      </c>
    </row>
    <row r="228" spans="1:9" x14ac:dyDescent="0.3">
      <c r="A228" s="84"/>
      <c r="B228" s="71"/>
    </row>
    <row r="229" spans="1:9" ht="15" customHeight="1" x14ac:dyDescent="0.3">
      <c r="A229" s="84" t="s">
        <v>147</v>
      </c>
      <c r="B229" s="82"/>
      <c r="D229">
        <f>(20*8)+(3*4)+(6*3)</f>
        <v>190</v>
      </c>
      <c r="E229" t="s">
        <v>3</v>
      </c>
    </row>
    <row r="230" spans="1:9" x14ac:dyDescent="0.3">
      <c r="A230" s="84" t="s">
        <v>146</v>
      </c>
      <c r="B230" s="82"/>
      <c r="D230">
        <v>2</v>
      </c>
      <c r="E230" t="s">
        <v>0</v>
      </c>
    </row>
    <row r="231" spans="1:9" x14ac:dyDescent="0.3">
      <c r="A231" s="82"/>
      <c r="B231" s="82"/>
    </row>
    <row r="233" spans="1:9" x14ac:dyDescent="0.3">
      <c r="A233" t="s">
        <v>145</v>
      </c>
      <c r="D233" s="8">
        <f>D218+D219+D220+D221+D222+(D226*D227)+(D229*D230)</f>
        <v>1489.125</v>
      </c>
      <c r="E233" t="s">
        <v>3</v>
      </c>
    </row>
    <row r="234" spans="1:9" x14ac:dyDescent="0.3">
      <c r="D234" s="8">
        <f>D233/9</f>
        <v>165.45833333333334</v>
      </c>
      <c r="E234" t="s">
        <v>2</v>
      </c>
    </row>
    <row r="237" spans="1:9" x14ac:dyDescent="0.3">
      <c r="A237" s="6" t="s">
        <v>163</v>
      </c>
      <c r="B237" s="6"/>
      <c r="C237" s="6"/>
      <c r="D237" s="6"/>
      <c r="E237" s="6"/>
      <c r="F237" s="6"/>
      <c r="G237" s="6"/>
      <c r="H237" s="6"/>
      <c r="I237" s="6"/>
    </row>
    <row r="239" spans="1:9" x14ac:dyDescent="0.3">
      <c r="A239" t="s">
        <v>162</v>
      </c>
      <c r="D239">
        <v>2</v>
      </c>
      <c r="E239" t="s">
        <v>6</v>
      </c>
    </row>
    <row r="240" spans="1:9" x14ac:dyDescent="0.3">
      <c r="A240" t="s">
        <v>161</v>
      </c>
      <c r="D240">
        <v>48.17</v>
      </c>
      <c r="E240" t="s">
        <v>6</v>
      </c>
    </row>
    <row r="241" spans="1:5" x14ac:dyDescent="0.3">
      <c r="A241" t="s">
        <v>160</v>
      </c>
      <c r="D241">
        <v>2.5</v>
      </c>
      <c r="E241" t="s">
        <v>6</v>
      </c>
    </row>
    <row r="242" spans="1:5" x14ac:dyDescent="0.3">
      <c r="A242" t="s">
        <v>159</v>
      </c>
      <c r="D242">
        <v>1.75</v>
      </c>
      <c r="E242" t="s">
        <v>6</v>
      </c>
    </row>
    <row r="243" spans="1:5" x14ac:dyDescent="0.3">
      <c r="A243" t="s">
        <v>158</v>
      </c>
      <c r="D243">
        <v>8</v>
      </c>
      <c r="E243" t="s">
        <v>6</v>
      </c>
    </row>
    <row r="244" spans="1:5" x14ac:dyDescent="0.3">
      <c r="A244" t="s">
        <v>157</v>
      </c>
      <c r="D244">
        <v>7.75</v>
      </c>
      <c r="E244" t="s">
        <v>6</v>
      </c>
    </row>
    <row r="246" spans="1:5" x14ac:dyDescent="0.3">
      <c r="A246" t="s">
        <v>156</v>
      </c>
      <c r="D246">
        <f>D240*D241</f>
        <v>120.42500000000001</v>
      </c>
      <c r="E246" t="s">
        <v>3</v>
      </c>
    </row>
    <row r="247" spans="1:5" x14ac:dyDescent="0.3">
      <c r="A247" t="s">
        <v>155</v>
      </c>
      <c r="D247">
        <f>D240*D239</f>
        <v>96.34</v>
      </c>
      <c r="E247" t="s">
        <v>3</v>
      </c>
    </row>
    <row r="248" spans="1:5" x14ac:dyDescent="0.3">
      <c r="A248" t="s">
        <v>154</v>
      </c>
      <c r="D248">
        <f>2*(D239*D241)</f>
        <v>10</v>
      </c>
      <c r="E248" t="s">
        <v>3</v>
      </c>
    </row>
    <row r="249" spans="1:5" ht="15" customHeight="1" x14ac:dyDescent="0.3">
      <c r="A249" t="s">
        <v>153</v>
      </c>
      <c r="D249">
        <f>4*D239*D244</f>
        <v>62</v>
      </c>
      <c r="E249" t="s">
        <v>3</v>
      </c>
    </row>
    <row r="250" spans="1:5" x14ac:dyDescent="0.3">
      <c r="A250" s="84" t="s">
        <v>152</v>
      </c>
      <c r="B250" s="25"/>
      <c r="D250">
        <f>D243*D240</f>
        <v>385.36</v>
      </c>
      <c r="E250" t="s">
        <v>3</v>
      </c>
    </row>
    <row r="251" spans="1:5" x14ac:dyDescent="0.3">
      <c r="A251" s="25"/>
      <c r="B251" s="25"/>
    </row>
    <row r="252" spans="1:5" x14ac:dyDescent="0.3">
      <c r="A252" s="84" t="s">
        <v>151</v>
      </c>
      <c r="B252" s="71"/>
      <c r="D252">
        <v>7.5</v>
      </c>
      <c r="E252" t="s">
        <v>6</v>
      </c>
    </row>
    <row r="253" spans="1:5" x14ac:dyDescent="0.3">
      <c r="A253" s="84" t="s">
        <v>150</v>
      </c>
      <c r="B253" s="71"/>
      <c r="D253">
        <v>29</v>
      </c>
      <c r="E253" t="s">
        <v>6</v>
      </c>
    </row>
    <row r="254" spans="1:5" x14ac:dyDescent="0.3">
      <c r="A254" s="84" t="s">
        <v>149</v>
      </c>
      <c r="B254" s="71"/>
      <c r="D254">
        <f>D252*D253</f>
        <v>217.5</v>
      </c>
      <c r="E254" t="s">
        <v>3</v>
      </c>
    </row>
    <row r="255" spans="1:5" x14ac:dyDescent="0.3">
      <c r="A255" s="84" t="s">
        <v>148</v>
      </c>
      <c r="B255" s="82"/>
      <c r="D255">
        <v>2</v>
      </c>
      <c r="E255" t="s">
        <v>0</v>
      </c>
    </row>
    <row r="256" spans="1:5" ht="15" customHeight="1" x14ac:dyDescent="0.3">
      <c r="A256" s="84"/>
      <c r="B256" s="71"/>
    </row>
    <row r="257" spans="1:6" x14ac:dyDescent="0.3">
      <c r="A257" s="84" t="s">
        <v>147</v>
      </c>
      <c r="B257" s="82"/>
      <c r="D257">
        <f>(20*8)+(3*4)+(6*3)</f>
        <v>190</v>
      </c>
      <c r="E257" t="s">
        <v>3</v>
      </c>
    </row>
    <row r="258" spans="1:6" x14ac:dyDescent="0.3">
      <c r="A258" s="84" t="s">
        <v>146</v>
      </c>
      <c r="B258" s="82"/>
      <c r="D258">
        <v>2</v>
      </c>
      <c r="E258" t="s">
        <v>0</v>
      </c>
    </row>
    <row r="259" spans="1:6" x14ac:dyDescent="0.3">
      <c r="A259" s="82"/>
      <c r="B259" s="82"/>
    </row>
    <row r="261" spans="1:6" x14ac:dyDescent="0.3">
      <c r="A261" t="s">
        <v>145</v>
      </c>
      <c r="D261" s="8">
        <f>D246+D247+D248+D249+D250+(D254*D255)+(D257*D258)</f>
        <v>1489.125</v>
      </c>
      <c r="E261" t="s">
        <v>3</v>
      </c>
    </row>
    <row r="262" spans="1:6" x14ac:dyDescent="0.3">
      <c r="D262" s="8">
        <f>D261/9</f>
        <v>165.45833333333334</v>
      </c>
      <c r="E262" t="s">
        <v>2</v>
      </c>
    </row>
    <row r="264" spans="1:6" x14ac:dyDescent="0.3">
      <c r="A264" s="3" t="s">
        <v>144</v>
      </c>
      <c r="B264" s="3"/>
      <c r="C264" s="3"/>
      <c r="D264" s="4">
        <f>ROUNDUP(D206+D234+D262,0)</f>
        <v>695</v>
      </c>
      <c r="E264" s="3" t="s">
        <v>2</v>
      </c>
    </row>
    <row r="268" spans="1:6" x14ac:dyDescent="0.3">
      <c r="A268" s="5" t="s">
        <v>324</v>
      </c>
    </row>
    <row r="270" spans="1:6" x14ac:dyDescent="0.3">
      <c r="A270" t="s">
        <v>143</v>
      </c>
      <c r="D270">
        <v>25</v>
      </c>
      <c r="E270" t="s">
        <v>6</v>
      </c>
    </row>
    <row r="271" spans="1:6" x14ac:dyDescent="0.3">
      <c r="A271" t="s">
        <v>142</v>
      </c>
      <c r="D271">
        <v>24</v>
      </c>
      <c r="E271" t="s">
        <v>6</v>
      </c>
      <c r="F271" t="s">
        <v>136</v>
      </c>
    </row>
    <row r="272" spans="1:6" x14ac:dyDescent="0.3">
      <c r="A272" t="s">
        <v>141</v>
      </c>
      <c r="D272">
        <v>0</v>
      </c>
    </row>
    <row r="273" spans="1:7" x14ac:dyDescent="0.3">
      <c r="A273" t="s">
        <v>140</v>
      </c>
      <c r="D273">
        <f>D270*D271*D272</f>
        <v>0</v>
      </c>
      <c r="E273" t="s">
        <v>134</v>
      </c>
      <c r="F273">
        <f>D273/9</f>
        <v>0</v>
      </c>
      <c r="G273" t="s">
        <v>2</v>
      </c>
    </row>
    <row r="275" spans="1:7" x14ac:dyDescent="0.3">
      <c r="A275" t="s">
        <v>139</v>
      </c>
      <c r="D275">
        <v>0</v>
      </c>
      <c r="E275" t="s">
        <v>6</v>
      </c>
      <c r="F275" t="s">
        <v>138</v>
      </c>
    </row>
    <row r="276" spans="1:7" x14ac:dyDescent="0.3">
      <c r="A276" t="s">
        <v>137</v>
      </c>
      <c r="D276">
        <v>38.5</v>
      </c>
      <c r="E276" t="s">
        <v>6</v>
      </c>
      <c r="F276" t="s">
        <v>136</v>
      </c>
    </row>
    <row r="277" spans="1:7" x14ac:dyDescent="0.3">
      <c r="A277" t="s">
        <v>135</v>
      </c>
      <c r="D277">
        <f>D275*D276</f>
        <v>0</v>
      </c>
      <c r="E277" t="s">
        <v>134</v>
      </c>
      <c r="F277">
        <f>D277/9</f>
        <v>0</v>
      </c>
      <c r="G277" t="s">
        <v>2</v>
      </c>
    </row>
    <row r="279" spans="1:7" x14ac:dyDescent="0.3">
      <c r="A279" s="3" t="s">
        <v>133</v>
      </c>
      <c r="B279" s="3">
        <f>ROUNDUP(F273+F277,0)</f>
        <v>0</v>
      </c>
      <c r="C279" s="3" t="s">
        <v>2</v>
      </c>
    </row>
    <row r="288" spans="1:7" x14ac:dyDescent="0.3">
      <c r="A288" s="5" t="s">
        <v>132</v>
      </c>
    </row>
    <row r="289" spans="1:70" x14ac:dyDescent="0.3">
      <c r="A289" t="s">
        <v>131</v>
      </c>
      <c r="F289">
        <v>0</v>
      </c>
      <c r="G289" t="s">
        <v>0</v>
      </c>
    </row>
    <row r="294" spans="1:70" x14ac:dyDescent="0.3">
      <c r="A294" s="104"/>
    </row>
    <row r="295" spans="1:70" x14ac:dyDescent="0.3">
      <c r="A295" s="194" t="s">
        <v>130</v>
      </c>
      <c r="B295" s="194"/>
      <c r="C295" s="194"/>
      <c r="D295" s="194"/>
      <c r="E295" s="194"/>
      <c r="F295" s="194"/>
      <c r="G295" s="194"/>
      <c r="H295" s="194"/>
      <c r="I295" s="194"/>
      <c r="J295" s="194"/>
      <c r="K295" s="194"/>
    </row>
    <row r="296" spans="1:70" x14ac:dyDescent="0.3">
      <c r="A296" s="194"/>
      <c r="B296" s="194"/>
      <c r="C296" s="194"/>
      <c r="D296" s="194"/>
      <c r="E296" s="194"/>
      <c r="F296" s="194"/>
      <c r="G296" s="194"/>
      <c r="H296" s="194"/>
      <c r="I296" s="194"/>
      <c r="J296" s="194"/>
      <c r="K296" s="194"/>
    </row>
    <row r="297" spans="1:70" x14ac:dyDescent="0.3">
      <c r="A297" s="194"/>
      <c r="B297" s="194"/>
      <c r="C297" s="194"/>
      <c r="D297" s="194"/>
      <c r="E297" s="194"/>
      <c r="F297" s="194"/>
      <c r="G297" s="194"/>
      <c r="H297" s="194"/>
      <c r="I297" s="194"/>
      <c r="J297" s="194"/>
      <c r="K297" s="194"/>
    </row>
    <row r="298" spans="1:70" ht="15.6" x14ac:dyDescent="0.3">
      <c r="G298" s="5" t="s">
        <v>129</v>
      </c>
      <c r="AR298" s="103"/>
    </row>
    <row r="299" spans="1:70" ht="15.6" x14ac:dyDescent="0.3">
      <c r="F299" s="102" t="s">
        <v>128</v>
      </c>
      <c r="G299" s="102" t="s">
        <v>127</v>
      </c>
      <c r="H299" s="34"/>
      <c r="I299" s="101" t="s">
        <v>62</v>
      </c>
      <c r="J299" s="9">
        <f>(2*(30))+(3*10.5)-(2*0.375)</f>
        <v>90.75</v>
      </c>
      <c r="K299" s="9" t="s">
        <v>64</v>
      </c>
      <c r="L299" s="101" t="s">
        <v>126</v>
      </c>
      <c r="N299" s="101" t="s">
        <v>62</v>
      </c>
      <c r="O299" s="9"/>
      <c r="P299" s="9" t="s">
        <v>64</v>
      </c>
      <c r="Q299" s="101" t="s">
        <v>126</v>
      </c>
      <c r="R299" s="101" t="s">
        <v>62</v>
      </c>
      <c r="S299" s="9"/>
      <c r="T299" s="9" t="s">
        <v>64</v>
      </c>
      <c r="U299" s="101" t="s">
        <v>126</v>
      </c>
      <c r="V299" s="100"/>
      <c r="W299" s="100"/>
      <c r="X299" s="100"/>
      <c r="Y299" s="100"/>
      <c r="Z299" s="100"/>
      <c r="AA299" s="100"/>
      <c r="AB299" s="100"/>
    </row>
    <row r="300" spans="1:70" ht="57.6" x14ac:dyDescent="0.3">
      <c r="B300">
        <v>514</v>
      </c>
      <c r="C300" s="87" t="s">
        <v>125</v>
      </c>
      <c r="D300" s="71" t="s">
        <v>124</v>
      </c>
      <c r="E300" t="s">
        <v>3</v>
      </c>
      <c r="F300" s="83">
        <f>N336</f>
        <v>21843.969025987572</v>
      </c>
      <c r="G300" s="53">
        <v>0</v>
      </c>
      <c r="H300" s="92">
        <f t="shared" ref="H300:H305" si="0">SUM(F300:G300)</f>
        <v>21843.969025987572</v>
      </c>
      <c r="I300" s="99" t="s">
        <v>311</v>
      </c>
      <c r="J300" s="76">
        <f>J299/12</f>
        <v>7.5625</v>
      </c>
      <c r="K300" s="9" t="s">
        <v>39</v>
      </c>
      <c r="L300" s="98"/>
      <c r="N300" s="99" t="s">
        <v>123</v>
      </c>
      <c r="O300" s="9">
        <f>O299/12</f>
        <v>0</v>
      </c>
      <c r="P300" s="9" t="s">
        <v>39</v>
      </c>
      <c r="Q300" s="98"/>
      <c r="R300" s="99" t="s">
        <v>122</v>
      </c>
      <c r="S300" s="9">
        <f>S299/12</f>
        <v>0</v>
      </c>
      <c r="T300" s="9" t="s">
        <v>39</v>
      </c>
      <c r="U300" s="98"/>
      <c r="V300" s="88"/>
      <c r="W300" s="88"/>
      <c r="X300" s="88"/>
      <c r="Y300" s="88"/>
      <c r="Z300" s="88"/>
      <c r="AA300" s="88"/>
      <c r="AB300" s="88"/>
    </row>
    <row r="301" spans="1:70" ht="43.2" x14ac:dyDescent="0.3">
      <c r="B301">
        <v>514</v>
      </c>
      <c r="C301" s="87" t="s">
        <v>121</v>
      </c>
      <c r="D301" s="71" t="s">
        <v>120</v>
      </c>
      <c r="E301" t="s">
        <v>3</v>
      </c>
      <c r="F301" s="83">
        <f>N336</f>
        <v>21843.969025987572</v>
      </c>
      <c r="G301" s="53">
        <v>0</v>
      </c>
      <c r="H301" s="92">
        <f t="shared" si="0"/>
        <v>21843.969025987572</v>
      </c>
      <c r="AD301" s="43"/>
      <c r="AE301" s="97" t="s">
        <v>301</v>
      </c>
      <c r="AF301" s="42"/>
      <c r="AG301" s="42"/>
      <c r="AH301" s="42"/>
      <c r="AI301" s="42"/>
      <c r="AJ301" s="42"/>
      <c r="AK301" s="41"/>
      <c r="AM301" s="96" t="s">
        <v>307</v>
      </c>
      <c r="AN301" s="42"/>
      <c r="AO301" s="42"/>
      <c r="AP301" s="42"/>
      <c r="AQ301" s="42"/>
      <c r="AR301" s="42"/>
      <c r="AS301" s="42"/>
      <c r="AT301" s="42"/>
      <c r="AU301" s="42"/>
      <c r="AV301" s="41"/>
      <c r="AX301" s="96" t="s">
        <v>308</v>
      </c>
      <c r="AY301" s="42"/>
      <c r="AZ301" s="42"/>
      <c r="BA301" s="42"/>
      <c r="BB301" s="42"/>
      <c r="BC301" s="42"/>
      <c r="BD301" s="42"/>
      <c r="BE301" s="42"/>
      <c r="BF301" s="42"/>
      <c r="BG301" s="41"/>
      <c r="BI301" s="155" t="s">
        <v>314</v>
      </c>
      <c r="BJ301" s="42"/>
      <c r="BK301" s="42"/>
      <c r="BL301" s="42"/>
      <c r="BM301" s="42"/>
      <c r="BN301" s="42"/>
      <c r="BO301" s="42"/>
      <c r="BP301" s="42"/>
      <c r="BQ301" s="42"/>
      <c r="BR301" s="41"/>
    </row>
    <row r="302" spans="1:70" ht="57.6" x14ac:dyDescent="0.3">
      <c r="B302">
        <v>514</v>
      </c>
      <c r="C302" s="87" t="s">
        <v>116</v>
      </c>
      <c r="D302" s="71" t="s">
        <v>115</v>
      </c>
      <c r="E302" t="s">
        <v>3</v>
      </c>
      <c r="F302" s="83">
        <f>N336</f>
        <v>21843.969025987572</v>
      </c>
      <c r="G302" s="53">
        <v>0</v>
      </c>
      <c r="H302" s="92">
        <f t="shared" si="0"/>
        <v>21843.969025987572</v>
      </c>
      <c r="I302" s="9" t="s">
        <v>40</v>
      </c>
      <c r="J302" s="76">
        <f>0.75+30+42.5+45.5+36.5+0.75</f>
        <v>156</v>
      </c>
      <c r="K302" s="9" t="s">
        <v>39</v>
      </c>
      <c r="L302" s="9" t="s">
        <v>40</v>
      </c>
      <c r="M302" s="9"/>
      <c r="N302" s="9" t="s">
        <v>39</v>
      </c>
      <c r="O302" s="9" t="s">
        <v>40</v>
      </c>
      <c r="P302" s="9"/>
      <c r="Q302" s="9" t="s">
        <v>39</v>
      </c>
      <c r="R302" s="9" t="s">
        <v>39</v>
      </c>
      <c r="S302" s="9" t="s">
        <v>40</v>
      </c>
      <c r="T302" s="9"/>
      <c r="U302" s="9" t="s">
        <v>39</v>
      </c>
      <c r="V302" s="9" t="s">
        <v>40</v>
      </c>
      <c r="W302" s="9"/>
      <c r="X302" s="9" t="s">
        <v>39</v>
      </c>
      <c r="Y302" s="9" t="s">
        <v>40</v>
      </c>
      <c r="Z302" s="9"/>
      <c r="AA302" s="9" t="s">
        <v>39</v>
      </c>
      <c r="AD302" s="37"/>
      <c r="AF302" t="s">
        <v>69</v>
      </c>
      <c r="AH302" t="s">
        <v>220</v>
      </c>
      <c r="AJ302" s="94">
        <v>7.2</v>
      </c>
      <c r="AK302" s="53" t="s">
        <v>113</v>
      </c>
      <c r="AM302" s="37"/>
      <c r="AR302" t="s">
        <v>310</v>
      </c>
      <c r="AT302" s="94">
        <v>8.1999999999999993</v>
      </c>
      <c r="AU302" s="53" t="s">
        <v>113</v>
      </c>
      <c r="AV302" s="36"/>
      <c r="AX302" s="37"/>
      <c r="BC302" t="s">
        <v>310</v>
      </c>
      <c r="BE302" s="94">
        <v>8.1999999999999993</v>
      </c>
      <c r="BF302" s="53" t="s">
        <v>113</v>
      </c>
      <c r="BG302" s="36"/>
      <c r="BI302" s="37"/>
      <c r="BN302" t="s">
        <v>310</v>
      </c>
      <c r="BP302" s="94">
        <v>8.1999999999999993</v>
      </c>
      <c r="BQ302" s="53" t="s">
        <v>113</v>
      </c>
      <c r="BR302" s="36"/>
    </row>
    <row r="303" spans="1:70" ht="43.2" x14ac:dyDescent="0.3">
      <c r="B303">
        <v>514</v>
      </c>
      <c r="C303" s="87" t="s">
        <v>112</v>
      </c>
      <c r="D303" s="71" t="s">
        <v>111</v>
      </c>
      <c r="E303" t="s">
        <v>3</v>
      </c>
      <c r="F303" s="83">
        <f>N336</f>
        <v>21843.969025987572</v>
      </c>
      <c r="G303" s="53">
        <v>0</v>
      </c>
      <c r="H303" s="92">
        <f t="shared" si="0"/>
        <v>21843.969025987572</v>
      </c>
      <c r="I303" s="91" t="s">
        <v>58</v>
      </c>
      <c r="J303" s="90" t="s">
        <v>110</v>
      </c>
      <c r="K303" s="91"/>
      <c r="L303" s="91" t="s">
        <v>58</v>
      </c>
      <c r="M303" s="90" t="s">
        <v>109</v>
      </c>
      <c r="N303" s="91"/>
      <c r="O303" s="91" t="s">
        <v>58</v>
      </c>
      <c r="P303" s="90"/>
      <c r="Q303" s="91"/>
      <c r="R303" s="89"/>
      <c r="S303" s="91" t="s">
        <v>58</v>
      </c>
      <c r="T303" s="90"/>
      <c r="U303" s="91"/>
      <c r="V303" s="91" t="s">
        <v>58</v>
      </c>
      <c r="W303" s="90"/>
      <c r="X303" s="89"/>
      <c r="Y303" s="91" t="s">
        <v>58</v>
      </c>
      <c r="Z303" s="90"/>
      <c r="AA303" s="89"/>
      <c r="AB303" s="88"/>
      <c r="AD303" s="37"/>
      <c r="AI303" s="79"/>
      <c r="AK303" s="36"/>
      <c r="AM303" s="37"/>
      <c r="AQ303" s="53"/>
      <c r="AR303" s="53"/>
      <c r="AS303" s="53"/>
      <c r="AV303" s="36"/>
      <c r="AX303" s="37"/>
      <c r="BB303" s="53"/>
      <c r="BC303" s="53"/>
      <c r="BD303" s="53"/>
      <c r="BG303" s="36"/>
      <c r="BI303" s="37"/>
      <c r="BM303" s="53"/>
      <c r="BN303" s="53"/>
      <c r="BO303" s="53"/>
      <c r="BR303" s="36"/>
    </row>
    <row r="304" spans="1:70" ht="43.2" x14ac:dyDescent="0.3">
      <c r="B304">
        <v>514</v>
      </c>
      <c r="C304" s="87" t="s">
        <v>108</v>
      </c>
      <c r="D304" s="25" t="s">
        <v>107</v>
      </c>
      <c r="E304" t="s">
        <v>106</v>
      </c>
      <c r="F304" s="53">
        <f>ROUNDUP(K306*K308/60,0)</f>
        <v>29</v>
      </c>
      <c r="G304" s="53">
        <v>0</v>
      </c>
      <c r="H304" s="86">
        <f t="shared" si="0"/>
        <v>29</v>
      </c>
      <c r="I304" s="9" t="s">
        <v>38</v>
      </c>
      <c r="J304" s="9">
        <f>J302*J300</f>
        <v>1179.75</v>
      </c>
      <c r="K304" s="9" t="s">
        <v>37</v>
      </c>
      <c r="L304" s="9" t="s">
        <v>38</v>
      </c>
      <c r="M304" s="9">
        <f>M302*J300</f>
        <v>0</v>
      </c>
      <c r="N304" s="9" t="s">
        <v>37</v>
      </c>
      <c r="O304" s="9" t="s">
        <v>38</v>
      </c>
      <c r="P304" s="9">
        <f>P302*J300</f>
        <v>0</v>
      </c>
      <c r="Q304" s="9" t="s">
        <v>37</v>
      </c>
      <c r="R304" s="9" t="s">
        <v>37</v>
      </c>
      <c r="S304" s="9" t="s">
        <v>38</v>
      </c>
      <c r="T304" s="9">
        <f>T302*J300</f>
        <v>0</v>
      </c>
      <c r="U304" s="9" t="s">
        <v>37</v>
      </c>
      <c r="V304" s="9" t="s">
        <v>38</v>
      </c>
      <c r="W304" s="9">
        <f>W302*S300</f>
        <v>0</v>
      </c>
      <c r="X304" s="9" t="s">
        <v>37</v>
      </c>
      <c r="Y304" s="9" t="s">
        <v>38</v>
      </c>
      <c r="Z304" s="9">
        <f>Z302*S300</f>
        <v>0</v>
      </c>
      <c r="AA304" s="9" t="s">
        <v>37</v>
      </c>
      <c r="AD304" s="37"/>
      <c r="AE304" t="s">
        <v>68</v>
      </c>
      <c r="AF304" s="85">
        <v>8</v>
      </c>
      <c r="AG304" s="59" t="s">
        <v>39</v>
      </c>
      <c r="AH304" s="59"/>
      <c r="AK304" s="36"/>
      <c r="AM304" s="186" t="s">
        <v>309</v>
      </c>
      <c r="AN304" s="187"/>
      <c r="AO304" s="187"/>
      <c r="AP304" s="187"/>
      <c r="AQ304" s="187"/>
      <c r="AR304" s="187"/>
      <c r="AS304" s="187"/>
      <c r="AV304" s="36"/>
      <c r="AX304" s="186" t="s">
        <v>309</v>
      </c>
      <c r="AY304" s="187"/>
      <c r="AZ304" s="187"/>
      <c r="BA304" s="187"/>
      <c r="BB304" s="187"/>
      <c r="BC304" s="187"/>
      <c r="BD304" s="187"/>
      <c r="BG304" s="36"/>
      <c r="BI304" s="186" t="s">
        <v>315</v>
      </c>
      <c r="BJ304" s="187"/>
      <c r="BK304" s="187"/>
      <c r="BL304" s="187"/>
      <c r="BM304" s="187"/>
      <c r="BN304" s="187"/>
      <c r="BO304" s="187"/>
      <c r="BR304" s="36"/>
    </row>
    <row r="305" spans="2:70" ht="29.4" x14ac:dyDescent="0.35">
      <c r="B305">
        <v>514</v>
      </c>
      <c r="C305" s="84">
        <v>10000</v>
      </c>
      <c r="D305" s="25" t="s">
        <v>102</v>
      </c>
      <c r="E305" t="s">
        <v>0</v>
      </c>
      <c r="F305" s="83">
        <f>ROUNDUP(MAX(F300/2400,(K306*K308/300)),0)</f>
        <v>10</v>
      </c>
      <c r="G305" s="82">
        <f>ROUNDUP(G300/2400,0)</f>
        <v>0</v>
      </c>
      <c r="H305" s="81">
        <f t="shared" si="0"/>
        <v>10</v>
      </c>
      <c r="I305" s="9" t="s">
        <v>54</v>
      </c>
      <c r="J305" s="33">
        <f>J304*1.1</f>
        <v>1297.7250000000001</v>
      </c>
      <c r="K305" s="9" t="s">
        <v>37</v>
      </c>
      <c r="L305" s="9" t="s">
        <v>54</v>
      </c>
      <c r="M305" s="33">
        <f>M304*1.1</f>
        <v>0</v>
      </c>
      <c r="N305" s="9" t="s">
        <v>37</v>
      </c>
      <c r="O305" s="9" t="s">
        <v>54</v>
      </c>
      <c r="P305" s="33">
        <f>P304*1.1</f>
        <v>0</v>
      </c>
      <c r="Q305" s="9" t="s">
        <v>37</v>
      </c>
      <c r="R305" s="9" t="s">
        <v>37</v>
      </c>
      <c r="S305" s="9" t="s">
        <v>54</v>
      </c>
      <c r="T305" s="33">
        <f>T304*1.1</f>
        <v>0</v>
      </c>
      <c r="U305" s="9" t="s">
        <v>37</v>
      </c>
      <c r="V305" s="9" t="s">
        <v>54</v>
      </c>
      <c r="W305" s="33">
        <f>W304*1.1</f>
        <v>0</v>
      </c>
      <c r="X305" s="9" t="s">
        <v>37</v>
      </c>
      <c r="Y305" s="9" t="s">
        <v>54</v>
      </c>
      <c r="Z305" s="33">
        <f>Z304*1.1</f>
        <v>0</v>
      </c>
      <c r="AA305" s="9" t="s">
        <v>37</v>
      </c>
      <c r="AD305" s="37" t="s">
        <v>303</v>
      </c>
      <c r="AE305" s="53" t="s">
        <v>66</v>
      </c>
      <c r="AF305" s="80">
        <v>30</v>
      </c>
      <c r="AG305" t="s">
        <v>64</v>
      </c>
      <c r="AI305" s="79" t="s">
        <v>65</v>
      </c>
      <c r="AJ305" s="80">
        <v>0.88</v>
      </c>
      <c r="AK305" s="36" t="s">
        <v>64</v>
      </c>
      <c r="AM305" s="54"/>
      <c r="AN305" s="53"/>
      <c r="AO305" s="53" t="s">
        <v>69</v>
      </c>
      <c r="AP305" s="53" t="s">
        <v>101</v>
      </c>
      <c r="AQ305" s="53" t="s">
        <v>100</v>
      </c>
      <c r="AR305" s="53"/>
      <c r="AS305" s="53"/>
      <c r="AT305" s="79" t="s">
        <v>65</v>
      </c>
      <c r="AU305" s="80">
        <v>0.88</v>
      </c>
      <c r="AV305" s="36" t="s">
        <v>64</v>
      </c>
      <c r="AX305" s="54"/>
      <c r="AY305" s="53"/>
      <c r="AZ305" s="53" t="s">
        <v>69</v>
      </c>
      <c r="BA305" s="53" t="s">
        <v>101</v>
      </c>
      <c r="BB305" s="53" t="s">
        <v>100</v>
      </c>
      <c r="BC305" s="53"/>
      <c r="BD305" s="53"/>
      <c r="BE305" s="79" t="s">
        <v>65</v>
      </c>
      <c r="BF305" s="80">
        <v>0.88</v>
      </c>
      <c r="BG305" s="36" t="s">
        <v>64</v>
      </c>
      <c r="BI305" s="54"/>
      <c r="BJ305" s="53"/>
      <c r="BK305" s="53" t="s">
        <v>69</v>
      </c>
      <c r="BL305" s="53" t="s">
        <v>101</v>
      </c>
      <c r="BM305" s="53" t="s">
        <v>100</v>
      </c>
      <c r="BN305" s="53"/>
      <c r="BO305" s="53"/>
      <c r="BP305" s="79" t="s">
        <v>65</v>
      </c>
      <c r="BQ305">
        <v>0.88</v>
      </c>
      <c r="BR305" s="36" t="s">
        <v>64</v>
      </c>
    </row>
    <row r="306" spans="2:70" x14ac:dyDescent="0.3">
      <c r="I306" s="32" t="s">
        <v>99</v>
      </c>
      <c r="J306" s="12"/>
      <c r="K306" s="9">
        <f>1*J302+1*M302+1*P302+1*T302+1*W302+1*Z302</f>
        <v>156</v>
      </c>
      <c r="L306" s="9" t="s">
        <v>39</v>
      </c>
      <c r="AD306" s="37"/>
      <c r="AF306">
        <f>AF305/12</f>
        <v>2.5</v>
      </c>
      <c r="AG306" t="s">
        <v>39</v>
      </c>
      <c r="AI306" s="79"/>
      <c r="AK306" s="36"/>
      <c r="AM306" s="54"/>
      <c r="AN306" s="53" t="s">
        <v>68</v>
      </c>
      <c r="AO306" s="77">
        <f>8+(2.0625)/12</f>
        <v>8.171875</v>
      </c>
      <c r="AP306" s="53">
        <f>AO306/3</f>
        <v>2.7239583333333335</v>
      </c>
      <c r="AQ306" s="53">
        <f>AO306/6</f>
        <v>1.3619791666666667</v>
      </c>
      <c r="AR306" s="53"/>
      <c r="AS306" s="53"/>
      <c r="AT306" t="s">
        <v>64</v>
      </c>
      <c r="AV306" s="36"/>
      <c r="AX306" s="54"/>
      <c r="AY306" s="53" t="s">
        <v>68</v>
      </c>
      <c r="AZ306" s="77">
        <f>8+(2.0625)/12</f>
        <v>8.171875</v>
      </c>
      <c r="BA306" s="53">
        <f>AZ306/3</f>
        <v>2.7239583333333335</v>
      </c>
      <c r="BB306" s="53">
        <f>AZ306/6</f>
        <v>1.3619791666666667</v>
      </c>
      <c r="BC306" s="53"/>
      <c r="BD306" s="53"/>
      <c r="BE306" t="s">
        <v>64</v>
      </c>
      <c r="BG306" s="36"/>
      <c r="BI306" s="54"/>
      <c r="BJ306" s="53" t="s">
        <v>68</v>
      </c>
      <c r="BK306" s="53">
        <f>6+(7.6875/12)</f>
        <v>6.640625</v>
      </c>
      <c r="BL306" s="53">
        <f>BK306/3</f>
        <v>2.2135416666666665</v>
      </c>
      <c r="BM306" s="53">
        <f>BK306/6</f>
        <v>1.1067708333333333</v>
      </c>
      <c r="BN306" s="53"/>
      <c r="BO306" s="53"/>
      <c r="BP306" t="s">
        <v>64</v>
      </c>
      <c r="BR306" s="36"/>
    </row>
    <row r="307" spans="2:70" x14ac:dyDescent="0.3">
      <c r="I307" s="32" t="s">
        <v>98</v>
      </c>
      <c r="J307" s="11"/>
      <c r="K307" s="78">
        <f>J305+M305+P305+T305+W305+Z305</f>
        <v>1297.7250000000001</v>
      </c>
      <c r="L307" s="9" t="s">
        <v>37</v>
      </c>
      <c r="AD307" s="37"/>
      <c r="AK307" s="36"/>
      <c r="AM307" s="54"/>
      <c r="AN307" s="53" t="s">
        <v>97</v>
      </c>
      <c r="AO307" s="77">
        <v>30</v>
      </c>
      <c r="AP307" s="73" t="s">
        <v>64</v>
      </c>
      <c r="AQ307" s="53"/>
      <c r="AR307" s="53"/>
      <c r="AS307" s="53"/>
      <c r="AT307" t="s">
        <v>64</v>
      </c>
      <c r="AV307" s="36"/>
      <c r="AX307" s="54"/>
      <c r="AY307" s="53" t="s">
        <v>97</v>
      </c>
      <c r="AZ307" s="53">
        <v>30</v>
      </c>
      <c r="BA307" s="73" t="s">
        <v>64</v>
      </c>
      <c r="BB307" s="53"/>
      <c r="BC307" s="53"/>
      <c r="BD307" s="53"/>
      <c r="BE307" t="s">
        <v>64</v>
      </c>
      <c r="BG307" s="36"/>
      <c r="BI307" s="54"/>
      <c r="BJ307" s="53" t="s">
        <v>97</v>
      </c>
      <c r="BK307" s="53">
        <v>30</v>
      </c>
      <c r="BL307" s="73" t="s">
        <v>64</v>
      </c>
      <c r="BM307" s="53"/>
      <c r="BN307" s="53"/>
      <c r="BO307" s="53"/>
      <c r="BP307" t="s">
        <v>64</v>
      </c>
      <c r="BR307" s="36"/>
    </row>
    <row r="308" spans="2:70" x14ac:dyDescent="0.3">
      <c r="I308" s="32" t="s">
        <v>96</v>
      </c>
      <c r="J308" s="11"/>
      <c r="K308" s="76">
        <v>11</v>
      </c>
      <c r="L308" s="9"/>
      <c r="AD308" s="37"/>
      <c r="AK308" s="36"/>
      <c r="AM308" s="54"/>
      <c r="AN308" s="53"/>
      <c r="AO308" s="53">
        <f>AO307/12</f>
        <v>2.5</v>
      </c>
      <c r="AP308" s="73" t="s">
        <v>39</v>
      </c>
      <c r="AQ308" s="65">
        <f>AN312^2+AN315^2</f>
        <v>12.204376112847221</v>
      </c>
      <c r="AR308" s="53"/>
      <c r="AS308" s="65">
        <f>AN312^2+AO315^2</f>
        <v>6.6394143615451382</v>
      </c>
      <c r="AT308" t="s">
        <v>64</v>
      </c>
      <c r="AV308" s="36"/>
      <c r="AX308" s="54"/>
      <c r="AY308" s="53"/>
      <c r="AZ308" s="53">
        <f>AZ307/12</f>
        <v>2.5</v>
      </c>
      <c r="BA308" s="73" t="s">
        <v>39</v>
      </c>
      <c r="BB308" s="65">
        <f>AY312^2+AY315^2</f>
        <v>12.204376112847221</v>
      </c>
      <c r="BC308" s="53"/>
      <c r="BD308" s="65">
        <f>AY312^2+AZ315^2</f>
        <v>6.6394143615451382</v>
      </c>
      <c r="BE308" t="s">
        <v>64</v>
      </c>
      <c r="BG308" s="36"/>
      <c r="BI308" s="54"/>
      <c r="BJ308" s="53"/>
      <c r="BK308" s="53">
        <f>BK307/12</f>
        <v>2.5</v>
      </c>
      <c r="BL308" s="73" t="s">
        <v>39</v>
      </c>
      <c r="BM308" s="53">
        <f>BJ312^2+BJ315^2</f>
        <v>48.882327501736114</v>
      </c>
      <c r="BN308" s="53"/>
      <c r="BO308" s="65">
        <f>BJ312^2+BK315^2</f>
        <v>4.7844271111111105</v>
      </c>
      <c r="BP308" t="s">
        <v>64</v>
      </c>
      <c r="BR308" s="36"/>
    </row>
    <row r="309" spans="2:70" ht="43.2" x14ac:dyDescent="0.3">
      <c r="I309" s="74" t="s">
        <v>95</v>
      </c>
      <c r="J309" s="11"/>
      <c r="K309" s="75">
        <f>K307*K308</f>
        <v>14274.975000000002</v>
      </c>
      <c r="L309" s="9" t="s">
        <v>37</v>
      </c>
      <c r="N309" s="74" t="s">
        <v>227</v>
      </c>
      <c r="O309" s="30">
        <f>55*(18*(24*4))/144</f>
        <v>660</v>
      </c>
      <c r="P309" s="11" t="s">
        <v>44</v>
      </c>
      <c r="AD309" s="37"/>
      <c r="AG309">
        <f>SQRT((AG314)^2+(AE310)^2)</f>
        <v>8.2934795273824076</v>
      </c>
      <c r="AH309" t="s">
        <v>6</v>
      </c>
      <c r="AK309" s="36"/>
      <c r="AM309" s="54"/>
      <c r="AN309" s="53"/>
      <c r="AO309" s="53"/>
      <c r="AP309" s="73"/>
      <c r="AQ309" s="53"/>
      <c r="AR309" s="53"/>
      <c r="AS309" s="53"/>
      <c r="AV309" s="36"/>
      <c r="AX309" s="54"/>
      <c r="AY309" s="53"/>
      <c r="AZ309" s="53"/>
      <c r="BA309" s="73"/>
      <c r="BB309" s="53"/>
      <c r="BC309" s="53"/>
      <c r="BD309" s="53"/>
      <c r="BG309" s="36"/>
      <c r="BI309" s="54"/>
      <c r="BJ309" s="53"/>
      <c r="BK309" s="53"/>
      <c r="BL309" s="73"/>
      <c r="BM309" s="53"/>
      <c r="BN309" s="53"/>
      <c r="BO309" s="53"/>
      <c r="BR309" s="36"/>
    </row>
    <row r="310" spans="2:70" x14ac:dyDescent="0.3">
      <c r="I310" s="71"/>
      <c r="AD310" s="37"/>
      <c r="AE310">
        <f>AF306-2*(AJ305/12+0.0833)</f>
        <v>2.1867333333333332</v>
      </c>
      <c r="AF310" t="s">
        <v>6</v>
      </c>
      <c r="AK310" s="36"/>
      <c r="AM310" s="54"/>
      <c r="AN310" s="53"/>
      <c r="AO310" s="53"/>
      <c r="AP310" s="53"/>
      <c r="AQ310" s="53"/>
      <c r="AR310" s="53"/>
      <c r="AS310" s="53"/>
      <c r="AU310">
        <v>1.1659999999999999</v>
      </c>
      <c r="AV310" s="36" t="s">
        <v>48</v>
      </c>
      <c r="AX310" s="54"/>
      <c r="AY310" s="53"/>
      <c r="AZ310" s="53"/>
      <c r="BA310" s="53"/>
      <c r="BB310" s="53"/>
      <c r="BC310" s="53"/>
      <c r="BD310" s="53"/>
      <c r="BF310">
        <v>1.1659999999999999</v>
      </c>
      <c r="BG310" s="36" t="s">
        <v>48</v>
      </c>
      <c r="BI310" s="54"/>
      <c r="BJ310" s="53"/>
      <c r="BK310" s="53"/>
      <c r="BL310" s="53"/>
      <c r="BM310" s="53"/>
      <c r="BN310" s="53"/>
      <c r="BO310" s="53"/>
      <c r="BQ310">
        <v>1.1659999999999999</v>
      </c>
      <c r="BR310" s="36" t="s">
        <v>48</v>
      </c>
    </row>
    <row r="311" spans="2:70" x14ac:dyDescent="0.3">
      <c r="I311" s="43" t="s">
        <v>94</v>
      </c>
      <c r="J311" s="42"/>
      <c r="K311" s="42">
        <f>(6+6)*60/144</f>
        <v>5</v>
      </c>
      <c r="L311" s="41" t="s">
        <v>44</v>
      </c>
      <c r="M311" s="43" t="s">
        <v>93</v>
      </c>
      <c r="N311" s="42"/>
      <c r="O311" s="42"/>
      <c r="P311" s="41"/>
      <c r="Q311" s="43" t="s">
        <v>92</v>
      </c>
      <c r="R311" s="42"/>
      <c r="S311" s="42"/>
      <c r="T311" s="41"/>
      <c r="AD311" s="37"/>
      <c r="AE311">
        <f>AE310*12</f>
        <v>26.2408</v>
      </c>
      <c r="AK311" s="36"/>
      <c r="AM311" s="54"/>
      <c r="AN311" s="53"/>
      <c r="AO311" s="65">
        <f>SQRT(AS308)</f>
        <v>2.5767061069406303</v>
      </c>
      <c r="AP311" s="65"/>
      <c r="AQ311" s="53"/>
      <c r="AR311" s="65">
        <f>AM312</f>
        <v>3.4934762218808961</v>
      </c>
      <c r="AS311" s="53"/>
      <c r="AU311" s="8">
        <f>0.33*AU310*2</f>
        <v>0.76956000000000002</v>
      </c>
      <c r="AV311" s="36" t="s">
        <v>44</v>
      </c>
      <c r="AX311" s="54"/>
      <c r="AY311" s="53"/>
      <c r="AZ311" s="65">
        <f>SQRT(BD308)</f>
        <v>2.5767061069406303</v>
      </c>
      <c r="BA311" s="65"/>
      <c r="BB311" s="53"/>
      <c r="BC311" s="65">
        <f>AX312</f>
        <v>3.4934762218808961</v>
      </c>
      <c r="BD311" s="53"/>
      <c r="BF311" s="8">
        <f>0.33*BF310*2</f>
        <v>0.76956000000000002</v>
      </c>
      <c r="BG311" s="36" t="s">
        <v>44</v>
      </c>
      <c r="BI311" s="54"/>
      <c r="BJ311" s="53"/>
      <c r="BK311" s="65"/>
      <c r="BL311" s="65"/>
      <c r="BM311" s="53"/>
      <c r="BN311" s="65">
        <f>BI312</f>
        <v>3.9760410220176752</v>
      </c>
      <c r="BO311" s="53"/>
      <c r="BQ311" s="8">
        <f>0.33*BQ310*2</f>
        <v>0.76956000000000002</v>
      </c>
      <c r="BR311" s="36" t="s">
        <v>44</v>
      </c>
    </row>
    <row r="312" spans="2:70" x14ac:dyDescent="0.3">
      <c r="I312" s="37" t="s">
        <v>87</v>
      </c>
      <c r="K312">
        <v>0</v>
      </c>
      <c r="L312" s="36" t="s">
        <v>85</v>
      </c>
      <c r="M312" s="37" t="s">
        <v>91</v>
      </c>
      <c r="O312">
        <f>((5+5)*(56+90)/2)/144</f>
        <v>5.0694444444444446</v>
      </c>
      <c r="P312" s="36" t="s">
        <v>44</v>
      </c>
      <c r="Q312" s="37" t="s">
        <v>91</v>
      </c>
      <c r="S312">
        <f>((5+5)*(55)/144)</f>
        <v>3.8194444444444446</v>
      </c>
      <c r="T312" s="36" t="s">
        <v>44</v>
      </c>
      <c r="AD312" s="37"/>
      <c r="AK312" s="36"/>
      <c r="AM312" s="70">
        <f>SQRT(AQ308)</f>
        <v>3.4934762218808961</v>
      </c>
      <c r="AN312" s="69">
        <f>AO308-2*(AU305/12+0.083)</f>
        <v>2.1873333333333331</v>
      </c>
      <c r="AO312" s="53"/>
      <c r="AP312" s="53"/>
      <c r="AQ312" s="53"/>
      <c r="AR312" s="53"/>
      <c r="AS312" s="53"/>
      <c r="AU312">
        <v>7</v>
      </c>
      <c r="AV312" s="36" t="s">
        <v>48</v>
      </c>
      <c r="AX312" s="70">
        <f>SQRT(BB308)</f>
        <v>3.4934762218808961</v>
      </c>
      <c r="AY312" s="69">
        <f>AZ308-2*(BF305/12+0.083)</f>
        <v>2.1873333333333331</v>
      </c>
      <c r="AZ312" s="53"/>
      <c r="BA312" s="53"/>
      <c r="BB312" s="53"/>
      <c r="BC312" s="53"/>
      <c r="BD312" s="53"/>
      <c r="BF312">
        <v>7</v>
      </c>
      <c r="BG312" s="36" t="s">
        <v>48</v>
      </c>
      <c r="BI312" s="70">
        <f>SQRT((0.5*BJ315)^2+(BJ312^2))</f>
        <v>3.9760410220176752</v>
      </c>
      <c r="BJ312" s="69">
        <f>BK308-2*(BQ305/12+0.083)</f>
        <v>2.1873333333333331</v>
      </c>
      <c r="BK312" s="53"/>
      <c r="BL312" s="53"/>
      <c r="BM312" s="53"/>
      <c r="BN312" s="53"/>
      <c r="BO312" s="53"/>
      <c r="BQ312">
        <v>7</v>
      </c>
      <c r="BR312" s="36" t="s">
        <v>48</v>
      </c>
    </row>
    <row r="313" spans="2:70" x14ac:dyDescent="0.3">
      <c r="I313" s="37" t="s">
        <v>80</v>
      </c>
      <c r="K313" s="3">
        <f>K311*K312</f>
        <v>0</v>
      </c>
      <c r="L313" s="36" t="s">
        <v>44</v>
      </c>
      <c r="M313" s="37" t="s">
        <v>87</v>
      </c>
      <c r="O313">
        <v>0</v>
      </c>
      <c r="P313" s="36" t="s">
        <v>85</v>
      </c>
      <c r="Q313" s="37" t="s">
        <v>87</v>
      </c>
      <c r="S313">
        <v>0</v>
      </c>
      <c r="T313" s="36" t="s">
        <v>85</v>
      </c>
      <c r="AD313" s="37"/>
      <c r="AK313" s="36"/>
      <c r="AM313" s="54"/>
      <c r="AN313" s="53"/>
      <c r="AO313" s="53"/>
      <c r="AP313" s="53"/>
      <c r="AQ313" s="53"/>
      <c r="AR313" s="53"/>
      <c r="AS313" s="53"/>
      <c r="AU313" s="8">
        <f>0.33*AU312*2</f>
        <v>4.62</v>
      </c>
      <c r="AV313" s="36" t="s">
        <v>44</v>
      </c>
      <c r="AX313" s="54"/>
      <c r="AY313" s="53"/>
      <c r="AZ313" s="53"/>
      <c r="BA313" s="53"/>
      <c r="BB313" s="53"/>
      <c r="BC313" s="53"/>
      <c r="BD313" s="53"/>
      <c r="BF313" s="8">
        <f>0.33*BF312*2</f>
        <v>4.62</v>
      </c>
      <c r="BG313" s="36" t="s">
        <v>44</v>
      </c>
      <c r="BI313" s="54"/>
      <c r="BJ313" s="53"/>
      <c r="BK313" s="53"/>
      <c r="BL313" s="53"/>
      <c r="BM313" s="53"/>
      <c r="BN313" s="53"/>
      <c r="BO313" s="53"/>
      <c r="BQ313" s="8">
        <f>0.33*BQ312*2</f>
        <v>4.62</v>
      </c>
      <c r="BR313" s="36" t="s">
        <v>44</v>
      </c>
    </row>
    <row r="314" spans="2:70" x14ac:dyDescent="0.3">
      <c r="I314" s="35" t="s">
        <v>78</v>
      </c>
      <c r="J314" s="6"/>
      <c r="K314" s="6"/>
      <c r="L314" s="34"/>
      <c r="M314" s="35" t="s">
        <v>80</v>
      </c>
      <c r="N314" s="6"/>
      <c r="O314" s="66">
        <f>O312*O313</f>
        <v>0</v>
      </c>
      <c r="P314" s="34" t="s">
        <v>44</v>
      </c>
      <c r="Q314" s="35" t="s">
        <v>80</v>
      </c>
      <c r="R314" s="6"/>
      <c r="S314" s="66">
        <f>S312*S313</f>
        <v>0</v>
      </c>
      <c r="T314" s="34" t="s">
        <v>44</v>
      </c>
      <c r="AD314" s="37"/>
      <c r="AG314" s="59">
        <f>AF304</f>
        <v>8</v>
      </c>
      <c r="AK314" s="36"/>
      <c r="AM314" s="54"/>
      <c r="AN314" s="53"/>
      <c r="AO314" s="53"/>
      <c r="AP314" s="53"/>
      <c r="AQ314" s="53"/>
      <c r="AR314" s="53"/>
      <c r="AS314" s="53"/>
      <c r="AV314" s="36"/>
      <c r="AX314" s="54"/>
      <c r="AY314" s="53"/>
      <c r="AZ314" s="53"/>
      <c r="BA314" s="53"/>
      <c r="BB314" s="53"/>
      <c r="BC314" s="53"/>
      <c r="BD314" s="53"/>
      <c r="BG314" s="36"/>
      <c r="BI314" s="54"/>
      <c r="BJ314" s="53"/>
      <c r="BK314" s="53"/>
      <c r="BL314" s="53"/>
      <c r="BM314" s="53"/>
      <c r="BN314" s="53"/>
      <c r="BO314" s="53"/>
      <c r="BR314" s="36"/>
    </row>
    <row r="315" spans="2:70" x14ac:dyDescent="0.3">
      <c r="AD315" s="37"/>
      <c r="AK315" s="36"/>
      <c r="AM315" s="54"/>
      <c r="AN315" s="65">
        <f>AO306/3</f>
        <v>2.7239583333333335</v>
      </c>
      <c r="AO315" s="65">
        <f>AN315/2</f>
        <v>1.3619791666666667</v>
      </c>
      <c r="AP315" s="53"/>
      <c r="AQ315" s="53"/>
      <c r="AR315" s="53"/>
      <c r="AS315" s="53"/>
      <c r="AV315" s="36"/>
      <c r="AX315" s="54"/>
      <c r="AY315" s="65">
        <f>AZ306/3</f>
        <v>2.7239583333333335</v>
      </c>
      <c r="AZ315" s="65">
        <f>AY315/2</f>
        <v>1.3619791666666667</v>
      </c>
      <c r="BA315" s="53"/>
      <c r="BB315" s="53"/>
      <c r="BC315" s="53"/>
      <c r="BD315" s="53"/>
      <c r="BG315" s="36"/>
      <c r="BI315" s="54"/>
      <c r="BJ315" s="65">
        <f>BK306</f>
        <v>6.640625</v>
      </c>
      <c r="BK315" s="65"/>
      <c r="BL315" s="53"/>
      <c r="BM315" s="53"/>
      <c r="BN315" s="53"/>
      <c r="BO315" s="53"/>
      <c r="BR315" s="36"/>
    </row>
    <row r="316" spans="2:70" x14ac:dyDescent="0.3">
      <c r="I316" s="43" t="s">
        <v>90</v>
      </c>
      <c r="J316" s="42"/>
      <c r="K316" s="63">
        <f>(8+8)*60/144</f>
        <v>6.666666666666667</v>
      </c>
      <c r="L316" s="41" t="s">
        <v>44</v>
      </c>
      <c r="M316" s="43" t="s">
        <v>89</v>
      </c>
      <c r="N316" s="42"/>
      <c r="O316" s="42">
        <f>(8+8)*60/144</f>
        <v>6.666666666666667</v>
      </c>
      <c r="P316" s="41" t="s">
        <v>44</v>
      </c>
      <c r="Q316" s="43" t="s">
        <v>88</v>
      </c>
      <c r="R316" s="42"/>
      <c r="S316" s="42">
        <f>PI()*(0.67)*8</f>
        <v>16.838936623241292</v>
      </c>
      <c r="T316" s="41" t="s">
        <v>44</v>
      </c>
      <c r="AD316" s="37" t="s">
        <v>49</v>
      </c>
      <c r="AG316" s="59">
        <f>(1*AG314)+(2*AG309)</f>
        <v>24.586959054764815</v>
      </c>
      <c r="AH316" t="s">
        <v>48</v>
      </c>
      <c r="AK316" s="36"/>
      <c r="AM316" s="51"/>
      <c r="AN316" s="50"/>
      <c r="AO316" s="50"/>
      <c r="AP316" s="50"/>
      <c r="AQ316" s="50"/>
      <c r="AR316" s="50"/>
      <c r="AS316" s="50"/>
      <c r="AT316" s="6"/>
      <c r="AU316" s="6"/>
      <c r="AV316" s="34"/>
      <c r="AX316" s="51"/>
      <c r="AY316" s="50"/>
      <c r="AZ316" s="50"/>
      <c r="BA316" s="50"/>
      <c r="BB316" s="50"/>
      <c r="BC316" s="50"/>
      <c r="BD316" s="50"/>
      <c r="BE316" s="6"/>
      <c r="BF316" s="6"/>
      <c r="BG316" s="34"/>
      <c r="BI316" s="51"/>
      <c r="BJ316" s="50"/>
      <c r="BK316" s="50"/>
      <c r="BL316" s="50"/>
      <c r="BM316" s="50"/>
      <c r="BN316" s="50"/>
      <c r="BO316" s="50"/>
      <c r="BP316" s="6"/>
      <c r="BQ316" s="6"/>
      <c r="BR316" s="34"/>
    </row>
    <row r="317" spans="2:70" x14ac:dyDescent="0.3">
      <c r="I317" s="37" t="s">
        <v>87</v>
      </c>
      <c r="K317">
        <v>0</v>
      </c>
      <c r="L317" s="36" t="s">
        <v>85</v>
      </c>
      <c r="M317" s="37" t="s">
        <v>87</v>
      </c>
      <c r="O317">
        <v>0</v>
      </c>
      <c r="P317" s="36" t="s">
        <v>85</v>
      </c>
      <c r="Q317" s="37" t="s">
        <v>86</v>
      </c>
      <c r="S317">
        <v>16</v>
      </c>
      <c r="T317" s="36" t="s">
        <v>85</v>
      </c>
      <c r="AD317" s="37"/>
      <c r="AK317" s="36"/>
      <c r="AM317" s="58"/>
      <c r="AN317" s="57"/>
      <c r="AO317" s="57" t="s">
        <v>82</v>
      </c>
      <c r="AP317" s="62" t="s">
        <v>316</v>
      </c>
      <c r="AQ317" s="57"/>
      <c r="AR317" s="57"/>
      <c r="AS317" s="57"/>
      <c r="AT317" s="42"/>
      <c r="AU317" s="42"/>
      <c r="AV317" s="41"/>
      <c r="AX317" s="58"/>
      <c r="AY317" s="57"/>
      <c r="AZ317" s="57" t="s">
        <v>82</v>
      </c>
      <c r="BA317" s="62" t="s">
        <v>316</v>
      </c>
      <c r="BB317" s="57"/>
      <c r="BC317" s="57"/>
      <c r="BD317" s="57"/>
      <c r="BE317" s="42"/>
      <c r="BF317" s="42"/>
      <c r="BG317" s="41"/>
      <c r="BI317" s="58"/>
      <c r="BJ317" s="57"/>
      <c r="BK317" s="57" t="s">
        <v>82</v>
      </c>
      <c r="BL317" s="62" t="s">
        <v>317</v>
      </c>
      <c r="BM317" s="57"/>
      <c r="BN317" s="57"/>
      <c r="BO317" s="57"/>
      <c r="BP317" s="42"/>
      <c r="BQ317" s="42"/>
      <c r="BR317" s="41"/>
    </row>
    <row r="318" spans="2:70" x14ac:dyDescent="0.3">
      <c r="I318" s="37" t="s">
        <v>80</v>
      </c>
      <c r="K318" s="3">
        <f>K316*K317</f>
        <v>0</v>
      </c>
      <c r="L318" s="36" t="s">
        <v>44</v>
      </c>
      <c r="M318" s="37" t="s">
        <v>80</v>
      </c>
      <c r="O318" s="3">
        <f>O316*O317</f>
        <v>0</v>
      </c>
      <c r="P318" s="36" t="s">
        <v>44</v>
      </c>
      <c r="Q318" s="37" t="s">
        <v>80</v>
      </c>
      <c r="S318" s="3">
        <f>S316*S317</f>
        <v>269.42298597186067</v>
      </c>
      <c r="T318" s="36" t="s">
        <v>44</v>
      </c>
      <c r="AD318" s="60" t="s">
        <v>79</v>
      </c>
      <c r="AG318" s="8">
        <f>0.3333*4*AG316</f>
        <v>32.77933381181245</v>
      </c>
      <c r="AH318" t="s">
        <v>44</v>
      </c>
      <c r="AK318" s="36"/>
      <c r="AM318" s="51"/>
      <c r="AN318" s="50"/>
      <c r="AO318" s="50"/>
      <c r="AP318" s="50">
        <f>AO306+(2*AM312)+(2*AO311)</f>
        <v>20.312239657643055</v>
      </c>
      <c r="AQ318" s="50" t="s">
        <v>39</v>
      </c>
      <c r="AR318" s="50"/>
      <c r="AS318" s="50"/>
      <c r="AT318" s="6"/>
      <c r="AU318" s="6"/>
      <c r="AV318" s="34"/>
      <c r="AX318" s="51"/>
      <c r="AY318" s="50"/>
      <c r="AZ318" s="50"/>
      <c r="BA318" s="50">
        <f>AZ306+(2*AX312)+(2*AZ311)</f>
        <v>20.312239657643055</v>
      </c>
      <c r="BB318" s="50" t="s">
        <v>39</v>
      </c>
      <c r="BC318" s="50"/>
      <c r="BD318" s="50"/>
      <c r="BE318" s="6"/>
      <c r="BF318" s="6"/>
      <c r="BG318" s="34"/>
      <c r="BI318" s="51"/>
      <c r="BJ318" s="50"/>
      <c r="BK318" s="50"/>
      <c r="BL318" s="50">
        <f>BJ315+2*BI312</f>
        <v>14.59270704403535</v>
      </c>
      <c r="BM318" s="50" t="s">
        <v>39</v>
      </c>
      <c r="BN318" s="50"/>
      <c r="BO318" s="50"/>
      <c r="BP318" s="6"/>
      <c r="BQ318" s="6"/>
      <c r="BR318" s="34"/>
    </row>
    <row r="319" spans="2:70" x14ac:dyDescent="0.3">
      <c r="I319" s="35" t="s">
        <v>78</v>
      </c>
      <c r="J319" s="6"/>
      <c r="K319" s="6"/>
      <c r="L319" s="34"/>
      <c r="M319" s="35"/>
      <c r="N319" s="6"/>
      <c r="O319" s="6"/>
      <c r="P319" s="34"/>
      <c r="Q319" s="35"/>
      <c r="R319" s="6"/>
      <c r="S319" s="6"/>
      <c r="T319" s="34"/>
      <c r="AD319" s="37" t="s">
        <v>46</v>
      </c>
      <c r="AF319" t="s">
        <v>45</v>
      </c>
      <c r="AG319" s="59">
        <f>AG318*1.1</f>
        <v>36.057267192993699</v>
      </c>
      <c r="AH319" t="s">
        <v>44</v>
      </c>
      <c r="AK319" s="36"/>
      <c r="AM319" s="58"/>
      <c r="AN319" s="57"/>
      <c r="AO319" s="57"/>
      <c r="AP319" s="57"/>
      <c r="AQ319" s="57"/>
      <c r="AR319" s="57"/>
      <c r="AS319" s="57"/>
      <c r="AT319" s="42"/>
      <c r="AU319" s="42"/>
      <c r="AV319" s="41"/>
      <c r="AX319" s="58"/>
      <c r="AY319" s="57"/>
      <c r="AZ319" s="57"/>
      <c r="BA319" s="57"/>
      <c r="BB319" s="57"/>
      <c r="BC319" s="57"/>
      <c r="BD319" s="57"/>
      <c r="BE319" s="42"/>
      <c r="BF319" s="42"/>
      <c r="BG319" s="41"/>
      <c r="BI319" s="58"/>
      <c r="BJ319" s="57"/>
      <c r="BK319" s="57"/>
      <c r="BL319" s="57"/>
      <c r="BM319" s="57"/>
      <c r="BN319" s="57"/>
      <c r="BO319" s="57"/>
      <c r="BP319" s="42"/>
      <c r="BQ319" s="42"/>
      <c r="BR319" s="41"/>
    </row>
    <row r="320" spans="2:70" x14ac:dyDescent="0.3">
      <c r="AD320" s="35"/>
      <c r="AE320" s="6"/>
      <c r="AF320" s="6"/>
      <c r="AG320" s="6"/>
      <c r="AH320" s="6"/>
      <c r="AI320" s="6"/>
      <c r="AJ320" s="6"/>
      <c r="AK320" s="34"/>
      <c r="AM320" s="54"/>
      <c r="AN320" s="53" t="s">
        <v>77</v>
      </c>
      <c r="AO320" s="53"/>
      <c r="AP320" s="53">
        <f>AP318*(0.3333*4)</f>
        <v>27.08027791156972</v>
      </c>
      <c r="AQ320" s="53" t="s">
        <v>44</v>
      </c>
      <c r="AR320" s="53"/>
      <c r="AS320" s="53"/>
      <c r="AV320" s="36"/>
      <c r="AX320" s="54"/>
      <c r="AY320" s="53" t="s">
        <v>77</v>
      </c>
      <c r="AZ320" s="53"/>
      <c r="BA320" s="53">
        <f>BA318*(0.3333*4)</f>
        <v>27.08027791156972</v>
      </c>
      <c r="BB320" s="53" t="s">
        <v>44</v>
      </c>
      <c r="BC320" s="53"/>
      <c r="BD320" s="53"/>
      <c r="BG320" s="36"/>
      <c r="BI320" s="54"/>
      <c r="BJ320" s="53" t="s">
        <v>77</v>
      </c>
      <c r="BK320" s="53"/>
      <c r="BL320" s="53">
        <f>BL318*(0.3333*4)</f>
        <v>19.454997031107929</v>
      </c>
      <c r="BM320" s="53" t="s">
        <v>44</v>
      </c>
      <c r="BN320" s="53"/>
      <c r="BO320" s="53"/>
      <c r="BR320" s="36"/>
    </row>
    <row r="321" spans="9:70" ht="15" customHeight="1" x14ac:dyDescent="0.3">
      <c r="I321" s="9" t="s">
        <v>62</v>
      </c>
      <c r="J321" s="9">
        <v>1</v>
      </c>
      <c r="K321" s="9" t="s">
        <v>39</v>
      </c>
      <c r="L321" s="9" t="s">
        <v>62</v>
      </c>
      <c r="M321" s="9">
        <f>16/12</f>
        <v>1.3333333333333333</v>
      </c>
      <c r="N321" s="9" t="s">
        <v>39</v>
      </c>
      <c r="O321" s="9" t="s">
        <v>62</v>
      </c>
      <c r="P321" s="9">
        <f>16/12</f>
        <v>1.3333333333333333</v>
      </c>
      <c r="Q321" s="9" t="s">
        <v>39</v>
      </c>
      <c r="R321" s="9" t="s">
        <v>62</v>
      </c>
      <c r="S321" s="9">
        <v>1</v>
      </c>
      <c r="T321" s="9" t="s">
        <v>39</v>
      </c>
      <c r="AM321" s="51"/>
      <c r="AN321" s="50" t="s">
        <v>76</v>
      </c>
      <c r="AO321" s="50"/>
      <c r="AP321" s="50"/>
      <c r="AQ321" s="50"/>
      <c r="AR321" s="50"/>
      <c r="AS321" s="50"/>
      <c r="AT321" s="6"/>
      <c r="AU321" s="6"/>
      <c r="AV321" s="34"/>
      <c r="AX321" s="51"/>
      <c r="AY321" s="50" t="s">
        <v>76</v>
      </c>
      <c r="AZ321" s="50"/>
      <c r="BA321" s="50"/>
      <c r="BB321" s="50"/>
      <c r="BC321" s="50"/>
      <c r="BD321" s="50"/>
      <c r="BE321" s="6"/>
      <c r="BF321" s="6"/>
      <c r="BG321" s="34"/>
      <c r="BI321" s="51"/>
      <c r="BJ321" s="50" t="s">
        <v>76</v>
      </c>
      <c r="BK321" s="50"/>
      <c r="BL321" s="50"/>
      <c r="BM321" s="50"/>
      <c r="BN321" s="50"/>
      <c r="BO321" s="50"/>
      <c r="BP321" s="6"/>
      <c r="BQ321" s="6"/>
      <c r="BR321" s="34"/>
    </row>
    <row r="322" spans="9:70" x14ac:dyDescent="0.3">
      <c r="I322" s="9" t="s">
        <v>40</v>
      </c>
      <c r="J322" s="44">
        <f>AG316</f>
        <v>24.586959054764815</v>
      </c>
      <c r="K322" s="9" t="s">
        <v>39</v>
      </c>
      <c r="L322" s="9" t="s">
        <v>40</v>
      </c>
      <c r="M322" s="9">
        <f>AP318</f>
        <v>20.312239657643055</v>
      </c>
      <c r="N322" s="9" t="s">
        <v>39</v>
      </c>
      <c r="O322" s="9" t="s">
        <v>40</v>
      </c>
      <c r="P322" s="9">
        <f>BL318</f>
        <v>14.59270704403535</v>
      </c>
      <c r="Q322" s="9" t="s">
        <v>39</v>
      </c>
      <c r="R322" s="9" t="s">
        <v>40</v>
      </c>
      <c r="S322" s="44">
        <f>AG338</f>
        <v>20.203624889463047</v>
      </c>
      <c r="T322" s="9" t="s">
        <v>39</v>
      </c>
      <c r="AM322" s="43"/>
      <c r="AN322" s="42"/>
      <c r="AO322" s="42"/>
      <c r="AP322" s="42"/>
      <c r="AQ322" s="42"/>
      <c r="AR322" s="42"/>
      <c r="AS322" s="42"/>
      <c r="AT322" s="42"/>
      <c r="AU322" s="42"/>
      <c r="AV322" s="41"/>
      <c r="AX322" s="43"/>
      <c r="AY322" s="42"/>
      <c r="AZ322" s="42"/>
      <c r="BA322" s="42"/>
      <c r="BB322" s="42"/>
      <c r="BC322" s="42"/>
      <c r="BD322" s="42"/>
      <c r="BE322" s="42"/>
      <c r="BF322" s="42"/>
      <c r="BG322" s="41"/>
      <c r="BI322" s="43"/>
      <c r="BJ322" s="42"/>
      <c r="BK322" s="42"/>
      <c r="BL322" s="42"/>
      <c r="BM322" s="42"/>
      <c r="BN322" s="42"/>
      <c r="BO322" s="42"/>
      <c r="BP322" s="42"/>
      <c r="BQ322" s="42"/>
      <c r="BR322" s="41"/>
    </row>
    <row r="323" spans="9:70" x14ac:dyDescent="0.3">
      <c r="I323" s="9" t="s">
        <v>58</v>
      </c>
      <c r="J323" s="32" t="s">
        <v>75</v>
      </c>
      <c r="K323" s="11"/>
      <c r="L323" s="9" t="s">
        <v>58</v>
      </c>
      <c r="M323" s="32" t="s">
        <v>312</v>
      </c>
      <c r="N323" s="11"/>
      <c r="O323" s="9" t="s">
        <v>58</v>
      </c>
      <c r="P323" s="32" t="s">
        <v>313</v>
      </c>
      <c r="Q323" s="11"/>
      <c r="R323" s="9" t="s">
        <v>58</v>
      </c>
      <c r="S323" s="32" t="s">
        <v>306</v>
      </c>
      <c r="T323" s="11"/>
      <c r="AD323" s="43"/>
      <c r="AE323" s="97" t="s">
        <v>302</v>
      </c>
      <c r="AF323" s="42"/>
      <c r="AG323" s="42"/>
      <c r="AH323" s="42"/>
      <c r="AI323" s="42"/>
      <c r="AJ323" s="42"/>
      <c r="AK323" s="41"/>
      <c r="AM323" s="37"/>
      <c r="AN323" s="188" t="s">
        <v>70</v>
      </c>
      <c r="AV323" s="36"/>
      <c r="AX323" s="37"/>
      <c r="AY323" s="188" t="s">
        <v>70</v>
      </c>
      <c r="BG323" s="36"/>
      <c r="BI323" s="37"/>
      <c r="BJ323" s="188" t="s">
        <v>70</v>
      </c>
      <c r="BR323" s="36"/>
    </row>
    <row r="324" spans="9:70" x14ac:dyDescent="0.3">
      <c r="I324" s="9" t="s">
        <v>55</v>
      </c>
      <c r="J324" s="32">
        <v>72</v>
      </c>
      <c r="K324" s="11"/>
      <c r="L324" s="9" t="s">
        <v>55</v>
      </c>
      <c r="M324" s="32">
        <v>12</v>
      </c>
      <c r="N324" s="11"/>
      <c r="O324" s="9" t="s">
        <v>55</v>
      </c>
      <c r="P324" s="32">
        <v>8</v>
      </c>
      <c r="Q324" s="11"/>
      <c r="R324" s="9" t="s">
        <v>55</v>
      </c>
      <c r="S324" s="32">
        <v>50</v>
      </c>
      <c r="T324" s="11"/>
      <c r="AD324" s="37"/>
      <c r="AF324" t="s">
        <v>69</v>
      </c>
      <c r="AM324" s="37"/>
      <c r="AN324" s="188"/>
      <c r="AP324">
        <f>AT302*AP318</f>
        <v>166.56036519267303</v>
      </c>
      <c r="AQ324" t="s">
        <v>52</v>
      </c>
      <c r="AV324" s="36"/>
      <c r="AX324" s="37"/>
      <c r="AY324" s="188"/>
      <c r="BA324">
        <f>BE302*BA318</f>
        <v>166.56036519267303</v>
      </c>
      <c r="BB324" t="s">
        <v>52</v>
      </c>
      <c r="BG324" s="36"/>
      <c r="BI324" s="37"/>
      <c r="BJ324" s="188"/>
      <c r="BL324">
        <f>BP302*BL318</f>
        <v>119.66019776108986</v>
      </c>
      <c r="BM324" t="s">
        <v>52</v>
      </c>
      <c r="BR324" s="36"/>
    </row>
    <row r="325" spans="9:70" x14ac:dyDescent="0.3">
      <c r="I325" s="9" t="s">
        <v>38</v>
      </c>
      <c r="J325" s="9">
        <f>J322*J321*J324</f>
        <v>1770.2610519430666</v>
      </c>
      <c r="K325" s="9" t="s">
        <v>37</v>
      </c>
      <c r="L325" s="9" t="s">
        <v>38</v>
      </c>
      <c r="M325" s="9">
        <f>M322*M321*M324</f>
        <v>324.99583452228887</v>
      </c>
      <c r="N325" s="9" t="s">
        <v>37</v>
      </c>
      <c r="O325" s="9" t="s">
        <v>38</v>
      </c>
      <c r="P325" s="9">
        <f>P322*P321*P324</f>
        <v>155.65554180304372</v>
      </c>
      <c r="Q325" s="9" t="s">
        <v>37</v>
      </c>
      <c r="R325" s="9" t="s">
        <v>38</v>
      </c>
      <c r="S325" s="9">
        <f>S322*S321*S324</f>
        <v>1010.1812444731523</v>
      </c>
      <c r="T325" s="9" t="s">
        <v>37</v>
      </c>
      <c r="AD325" s="37"/>
      <c r="AI325" s="79"/>
      <c r="AK325" s="36"/>
      <c r="AM325" s="35"/>
      <c r="AN325" s="189"/>
      <c r="AO325" s="6"/>
      <c r="AP325" s="6"/>
      <c r="AQ325" s="6"/>
      <c r="AR325" s="6"/>
      <c r="AS325" s="6"/>
      <c r="AT325" s="6"/>
      <c r="AU325" s="6"/>
      <c r="AV325" s="34"/>
      <c r="AX325" s="35"/>
      <c r="AY325" s="189"/>
      <c r="AZ325" s="6"/>
      <c r="BA325" s="6"/>
      <c r="BB325" s="6"/>
      <c r="BC325" s="6"/>
      <c r="BD325" s="6"/>
      <c r="BE325" s="6"/>
      <c r="BF325" s="6"/>
      <c r="BG325" s="34"/>
      <c r="BI325" s="35"/>
      <c r="BJ325" s="189"/>
      <c r="BK325" s="6"/>
      <c r="BL325" s="6"/>
      <c r="BM325" s="6"/>
      <c r="BN325" s="6"/>
      <c r="BO325" s="6"/>
      <c r="BP325" s="6"/>
      <c r="BQ325" s="6"/>
      <c r="BR325" s="34"/>
    </row>
    <row r="326" spans="9:70" x14ac:dyDescent="0.3">
      <c r="I326" s="9" t="s">
        <v>54</v>
      </c>
      <c r="J326" s="33">
        <f>J325*1.1</f>
        <v>1947.2871571373735</v>
      </c>
      <c r="K326" s="9" t="s">
        <v>37</v>
      </c>
      <c r="L326" s="9" t="s">
        <v>54</v>
      </c>
      <c r="M326" s="33">
        <f>M325*1.1</f>
        <v>357.49541797451781</v>
      </c>
      <c r="N326" s="9" t="s">
        <v>37</v>
      </c>
      <c r="O326" s="9" t="s">
        <v>54</v>
      </c>
      <c r="P326" s="33">
        <f>P325*1.1</f>
        <v>171.22109598334811</v>
      </c>
      <c r="Q326" s="9" t="s">
        <v>37</v>
      </c>
      <c r="R326" s="9" t="s">
        <v>54</v>
      </c>
      <c r="S326" s="33">
        <f>S325*1.1</f>
        <v>1111.1993689204676</v>
      </c>
      <c r="T326" s="9" t="s">
        <v>37</v>
      </c>
      <c r="AD326" s="37"/>
      <c r="AE326" t="s">
        <v>68</v>
      </c>
      <c r="AF326" s="59">
        <v>6.5</v>
      </c>
      <c r="AG326" s="59" t="s">
        <v>39</v>
      </c>
      <c r="AH326" s="59"/>
      <c r="AK326" s="36"/>
      <c r="AM326" s="43"/>
      <c r="AN326" s="42"/>
      <c r="AO326" s="42"/>
      <c r="AP326" s="42"/>
      <c r="AQ326" s="42"/>
      <c r="AR326" s="42"/>
      <c r="AS326" s="42"/>
      <c r="AT326" s="42"/>
      <c r="AU326" s="42"/>
      <c r="AV326" s="41"/>
      <c r="AX326" s="43"/>
      <c r="AY326" s="42"/>
      <c r="AZ326" s="42"/>
      <c r="BA326" s="42"/>
      <c r="BB326" s="42"/>
      <c r="BC326" s="42"/>
      <c r="BD326" s="42"/>
      <c r="BE326" s="42"/>
      <c r="BF326" s="42"/>
      <c r="BG326" s="41"/>
      <c r="BI326" s="43"/>
      <c r="BJ326" s="42"/>
      <c r="BK326" s="42"/>
      <c r="BL326" s="42"/>
      <c r="BM326" s="42"/>
      <c r="BN326" s="42"/>
      <c r="BO326" s="42"/>
      <c r="BP326" s="42"/>
      <c r="BQ326" s="42"/>
      <c r="BR326" s="41"/>
    </row>
    <row r="327" spans="9:70" ht="15.6" x14ac:dyDescent="0.35">
      <c r="AD327" s="196" t="s">
        <v>304</v>
      </c>
      <c r="AE327" s="53" t="s">
        <v>66</v>
      </c>
      <c r="AF327">
        <v>30</v>
      </c>
      <c r="AG327" t="s">
        <v>64</v>
      </c>
      <c r="AI327" s="79" t="s">
        <v>65</v>
      </c>
      <c r="AJ327">
        <v>1</v>
      </c>
      <c r="AK327" s="36" t="s">
        <v>64</v>
      </c>
      <c r="AM327" s="37"/>
      <c r="AN327" s="188" t="s">
        <v>63</v>
      </c>
      <c r="AP327">
        <f>1.1*AP324</f>
        <v>183.21640171194036</v>
      </c>
      <c r="AQ327" t="s">
        <v>52</v>
      </c>
      <c r="AV327" s="36"/>
      <c r="AX327" s="37"/>
      <c r="AY327" s="188" t="s">
        <v>63</v>
      </c>
      <c r="BA327">
        <f>1.1*BA324</f>
        <v>183.21640171194036</v>
      </c>
      <c r="BB327" t="s">
        <v>52</v>
      </c>
      <c r="BG327" s="36"/>
      <c r="BI327" s="37"/>
      <c r="BJ327" s="188" t="s">
        <v>63</v>
      </c>
      <c r="BL327">
        <f>1.1*BL324</f>
        <v>131.62621753719887</v>
      </c>
      <c r="BM327" t="s">
        <v>52</v>
      </c>
      <c r="BR327" s="36"/>
    </row>
    <row r="328" spans="9:70" x14ac:dyDescent="0.3">
      <c r="I328" s="9" t="s">
        <v>62</v>
      </c>
      <c r="J328" s="9">
        <v>1</v>
      </c>
      <c r="K328" s="9" t="s">
        <v>39</v>
      </c>
      <c r="L328" s="9" t="s">
        <v>62</v>
      </c>
      <c r="M328" s="9">
        <v>0</v>
      </c>
      <c r="N328" s="9" t="s">
        <v>39</v>
      </c>
      <c r="O328" s="9" t="s">
        <v>62</v>
      </c>
      <c r="P328" s="9">
        <f>((5.25*2)+(5*2))/12</f>
        <v>1.7083333333333333</v>
      </c>
      <c r="Q328" s="9" t="s">
        <v>39</v>
      </c>
      <c r="R328" s="9" t="s">
        <v>62</v>
      </c>
      <c r="S328" s="9">
        <v>0</v>
      </c>
      <c r="T328" s="9" t="s">
        <v>39</v>
      </c>
      <c r="AD328" s="196"/>
      <c r="AF328">
        <f>AF327/12</f>
        <v>2.5</v>
      </c>
      <c r="AG328" t="s">
        <v>39</v>
      </c>
      <c r="AI328" s="79"/>
      <c r="AK328" s="36"/>
      <c r="AM328" s="35"/>
      <c r="AN328" s="189"/>
      <c r="AO328" s="6"/>
      <c r="AP328" s="6"/>
      <c r="AQ328" s="6"/>
      <c r="AR328" s="6"/>
      <c r="AS328" s="6"/>
      <c r="AT328" s="6"/>
      <c r="AU328" s="6"/>
      <c r="AV328" s="34"/>
      <c r="AX328" s="35"/>
      <c r="AY328" s="189"/>
      <c r="AZ328" s="6"/>
      <c r="BA328" s="6"/>
      <c r="BB328" s="6"/>
      <c r="BC328" s="6"/>
      <c r="BD328" s="6"/>
      <c r="BE328" s="6"/>
      <c r="BF328" s="6"/>
      <c r="BG328" s="34"/>
      <c r="BI328" s="35"/>
      <c r="BJ328" s="189"/>
      <c r="BK328" s="6"/>
      <c r="BL328" s="6"/>
      <c r="BM328" s="6"/>
      <c r="BN328" s="6"/>
      <c r="BO328" s="6"/>
      <c r="BP328" s="6"/>
      <c r="BQ328" s="6"/>
      <c r="BR328" s="34"/>
    </row>
    <row r="329" spans="9:70" x14ac:dyDescent="0.3">
      <c r="I329" s="9" t="s">
        <v>40</v>
      </c>
      <c r="J329" s="44">
        <v>8</v>
      </c>
      <c r="K329" s="9" t="s">
        <v>39</v>
      </c>
      <c r="L329" s="9" t="s">
        <v>40</v>
      </c>
      <c r="M329" s="44">
        <f>AG338</f>
        <v>20.203624889463047</v>
      </c>
      <c r="N329" s="9" t="s">
        <v>39</v>
      </c>
      <c r="O329" s="9" t="s">
        <v>40</v>
      </c>
      <c r="P329" s="44">
        <v>11.28</v>
      </c>
      <c r="Q329" s="9" t="s">
        <v>39</v>
      </c>
      <c r="R329" s="9" t="s">
        <v>40</v>
      </c>
      <c r="S329" s="44">
        <v>0</v>
      </c>
      <c r="T329" s="9" t="s">
        <v>39</v>
      </c>
      <c r="AD329" s="37" t="s">
        <v>305</v>
      </c>
      <c r="AK329" s="36"/>
      <c r="AM329" s="43"/>
      <c r="AN329" s="42"/>
      <c r="AO329" s="42"/>
      <c r="AP329" s="42"/>
      <c r="AQ329" s="42"/>
      <c r="AR329" s="42"/>
      <c r="AS329" s="42"/>
      <c r="AT329" s="42"/>
      <c r="AU329" s="42"/>
      <c r="AV329" s="41"/>
      <c r="AX329" s="43"/>
      <c r="AY329" s="42"/>
      <c r="AZ329" s="42"/>
      <c r="BA329" s="42"/>
      <c r="BB329" s="42"/>
      <c r="BC329" s="42"/>
      <c r="BD329" s="42"/>
      <c r="BE329" s="42"/>
      <c r="BF329" s="42"/>
      <c r="BG329" s="41"/>
      <c r="BI329" s="43"/>
      <c r="BJ329" s="42"/>
      <c r="BK329" s="42"/>
      <c r="BL329" s="42"/>
      <c r="BM329" s="42"/>
      <c r="BN329" s="42"/>
      <c r="BO329" s="42"/>
      <c r="BP329" s="42"/>
      <c r="BQ329" s="42"/>
      <c r="BR329" s="41"/>
    </row>
    <row r="330" spans="9:70" x14ac:dyDescent="0.3">
      <c r="I330" s="9" t="s">
        <v>58</v>
      </c>
      <c r="J330" s="32" t="s">
        <v>61</v>
      </c>
      <c r="K330" s="11"/>
      <c r="L330" s="9" t="s">
        <v>58</v>
      </c>
      <c r="M330" s="32" t="s">
        <v>60</v>
      </c>
      <c r="N330" s="11"/>
      <c r="O330" s="9" t="s">
        <v>58</v>
      </c>
      <c r="P330" s="32" t="s">
        <v>59</v>
      </c>
      <c r="Q330" s="11"/>
      <c r="R330" s="9" t="s">
        <v>58</v>
      </c>
      <c r="S330" s="32" t="s">
        <v>57</v>
      </c>
      <c r="T330" s="11"/>
      <c r="AD330" s="37"/>
      <c r="AK330" s="36"/>
      <c r="AM330" s="37"/>
      <c r="AN330" s="188" t="s">
        <v>56</v>
      </c>
      <c r="AP330">
        <v>5</v>
      </c>
      <c r="AV330" s="36"/>
      <c r="AX330" s="37"/>
      <c r="AY330" s="188" t="s">
        <v>56</v>
      </c>
      <c r="BA330">
        <v>5</v>
      </c>
      <c r="BG330" s="36"/>
      <c r="BI330" s="37"/>
      <c r="BJ330" s="188" t="s">
        <v>56</v>
      </c>
      <c r="BL330">
        <v>2</v>
      </c>
      <c r="BR330" s="36"/>
    </row>
    <row r="331" spans="9:70" x14ac:dyDescent="0.3">
      <c r="I331" s="9" t="s">
        <v>55</v>
      </c>
      <c r="J331" s="32">
        <v>0</v>
      </c>
      <c r="K331" s="11"/>
      <c r="L331" s="9" t="s">
        <v>55</v>
      </c>
      <c r="M331" s="32">
        <v>0</v>
      </c>
      <c r="N331" s="11"/>
      <c r="O331" s="9" t="s">
        <v>55</v>
      </c>
      <c r="P331" s="32">
        <f>36*4</f>
        <v>144</v>
      </c>
      <c r="Q331" s="11"/>
      <c r="R331" s="9" t="s">
        <v>55</v>
      </c>
      <c r="S331" s="32">
        <v>0</v>
      </c>
      <c r="T331" s="11"/>
      <c r="AD331" s="37"/>
      <c r="AK331" s="36"/>
      <c r="AM331" s="37"/>
      <c r="AN331" s="188"/>
      <c r="AV331" s="36"/>
      <c r="AX331" s="37"/>
      <c r="AY331" s="188"/>
      <c r="BG331" s="36"/>
      <c r="BI331" s="37"/>
      <c r="BJ331" s="188"/>
      <c r="BR331" s="36"/>
    </row>
    <row r="332" spans="9:70" x14ac:dyDescent="0.3">
      <c r="I332" s="9" t="s">
        <v>38</v>
      </c>
      <c r="J332" s="9">
        <f>J329*J328*J331</f>
        <v>0</v>
      </c>
      <c r="K332" s="9" t="s">
        <v>37</v>
      </c>
      <c r="L332" s="9" t="s">
        <v>38</v>
      </c>
      <c r="M332" s="9">
        <f>M329*M328*M331</f>
        <v>0</v>
      </c>
      <c r="N332" s="9" t="s">
        <v>37</v>
      </c>
      <c r="O332" s="9" t="s">
        <v>38</v>
      </c>
      <c r="P332" s="9">
        <f>P329*P328*P331</f>
        <v>2774.88</v>
      </c>
      <c r="Q332" s="9" t="s">
        <v>37</v>
      </c>
      <c r="R332" s="9" t="s">
        <v>38</v>
      </c>
      <c r="S332" s="9">
        <f>S329*S328*S331</f>
        <v>0</v>
      </c>
      <c r="T332" s="9" t="s">
        <v>37</v>
      </c>
      <c r="AD332" s="37"/>
      <c r="AE332">
        <f>AF328-2*(AJ327/12+0.083)</f>
        <v>2.1673333333333336</v>
      </c>
      <c r="AF332" t="s">
        <v>6</v>
      </c>
      <c r="AH332">
        <f>SQRT((AG336)^2+(AE332)^2)</f>
        <v>6.8518124447315234</v>
      </c>
      <c r="AI332" t="s">
        <v>6</v>
      </c>
      <c r="AK332" s="36"/>
      <c r="AM332" s="35"/>
      <c r="AN332" s="6"/>
      <c r="AO332" s="6"/>
      <c r="AP332" s="6"/>
      <c r="AQ332" s="6"/>
      <c r="AR332" s="6"/>
      <c r="AS332" s="6"/>
      <c r="AT332" s="6"/>
      <c r="AU332" s="6"/>
      <c r="AV332" s="34"/>
      <c r="AX332" s="35"/>
      <c r="AY332" s="6"/>
      <c r="AZ332" s="6"/>
      <c r="BA332" s="6"/>
      <c r="BB332" s="6"/>
      <c r="BC332" s="6"/>
      <c r="BD332" s="6"/>
      <c r="BE332" s="6"/>
      <c r="BF332" s="6"/>
      <c r="BG332" s="34"/>
      <c r="BI332" s="35"/>
      <c r="BJ332" s="6"/>
      <c r="BK332" s="6"/>
      <c r="BL332" s="6"/>
      <c r="BM332" s="6"/>
      <c r="BN332" s="6"/>
      <c r="BO332" s="6"/>
      <c r="BP332" s="6"/>
      <c r="BQ332" s="6"/>
      <c r="BR332" s="34"/>
    </row>
    <row r="333" spans="9:70" ht="18" customHeight="1" x14ac:dyDescent="0.3">
      <c r="I333" s="9" t="s">
        <v>54</v>
      </c>
      <c r="J333" s="33">
        <f>J332*1.1</f>
        <v>0</v>
      </c>
      <c r="K333" s="9" t="s">
        <v>37</v>
      </c>
      <c r="L333" s="9" t="s">
        <v>54</v>
      </c>
      <c r="M333" s="33">
        <f>M332*1.1</f>
        <v>0</v>
      </c>
      <c r="N333" s="9" t="s">
        <v>37</v>
      </c>
      <c r="O333" s="9" t="s">
        <v>54</v>
      </c>
      <c r="P333" s="33">
        <f>P332*1.1</f>
        <v>3052.3680000000004</v>
      </c>
      <c r="Q333" s="9" t="s">
        <v>37</v>
      </c>
      <c r="R333" s="9" t="s">
        <v>54</v>
      </c>
      <c r="S333" s="33">
        <f>S332*1.1</f>
        <v>0</v>
      </c>
      <c r="T333" s="9" t="s">
        <v>37</v>
      </c>
      <c r="AD333" s="37"/>
      <c r="AE333">
        <f>AE332*12</f>
        <v>26.008000000000003</v>
      </c>
      <c r="AK333" s="36"/>
      <c r="AM333" s="32"/>
      <c r="AN333" s="31" t="s">
        <v>53</v>
      </c>
      <c r="AO333" s="12"/>
      <c r="AP333" s="30">
        <f>AP327*AP330</f>
        <v>916.08200855970176</v>
      </c>
      <c r="AQ333" s="12" t="s">
        <v>52</v>
      </c>
      <c r="AR333" s="12"/>
      <c r="AS333" s="12"/>
      <c r="AT333" s="12"/>
      <c r="AU333" s="12"/>
      <c r="AV333" s="11"/>
      <c r="AX333" s="32"/>
      <c r="AY333" s="31" t="s">
        <v>53</v>
      </c>
      <c r="AZ333" s="12"/>
      <c r="BA333" s="30">
        <f>BA327*BA330</f>
        <v>916.08200855970176</v>
      </c>
      <c r="BB333" s="12" t="s">
        <v>52</v>
      </c>
      <c r="BC333" s="12"/>
      <c r="BD333" s="12"/>
      <c r="BE333" s="12"/>
      <c r="BF333" s="12"/>
      <c r="BG333" s="11"/>
      <c r="BI333" s="32"/>
      <c r="BJ333" s="31" t="s">
        <v>53</v>
      </c>
      <c r="BK333" s="12"/>
      <c r="BL333" s="12">
        <f>BL327*BL330</f>
        <v>263.25243507439774</v>
      </c>
      <c r="BM333" s="12" t="s">
        <v>52</v>
      </c>
      <c r="BN333" s="12"/>
      <c r="BO333" s="12"/>
      <c r="BP333" s="12"/>
      <c r="BQ333" s="12"/>
      <c r="BR333" s="11"/>
    </row>
    <row r="334" spans="9:70" x14ac:dyDescent="0.3">
      <c r="AD334" s="37"/>
      <c r="AK334" s="36"/>
    </row>
    <row r="335" spans="9:70" x14ac:dyDescent="0.3">
      <c r="AD335" s="37"/>
      <c r="AK335" s="36"/>
    </row>
    <row r="336" spans="9:70" ht="43.2" x14ac:dyDescent="0.3">
      <c r="M336" s="25" t="s">
        <v>51</v>
      </c>
      <c r="N336" s="24">
        <f>K309+O309+K313+O314+S314+K318+O318+S318+J326+M326+P326+S326+J333+M333+P333+S333</f>
        <v>21843.969025987572</v>
      </c>
      <c r="O336" t="s">
        <v>37</v>
      </c>
      <c r="P336" s="5" t="s">
        <v>319</v>
      </c>
      <c r="AD336" s="37"/>
      <c r="AG336" s="59">
        <f>AF326</f>
        <v>6.5</v>
      </c>
      <c r="AK336" s="36"/>
    </row>
    <row r="337" spans="9:37" x14ac:dyDescent="0.3">
      <c r="AD337" s="37"/>
      <c r="AK337" s="36"/>
    </row>
    <row r="338" spans="9:37" x14ac:dyDescent="0.3">
      <c r="AD338" s="37" t="s">
        <v>49</v>
      </c>
      <c r="AG338" s="59">
        <f>(1*AG336)+(2*AH332)</f>
        <v>20.203624889463047</v>
      </c>
      <c r="AH338" t="s">
        <v>48</v>
      </c>
      <c r="AK338" s="36"/>
    </row>
    <row r="339" spans="9:37" x14ac:dyDescent="0.3">
      <c r="AD339" s="37"/>
      <c r="AK339" s="36"/>
    </row>
    <row r="340" spans="9:37" x14ac:dyDescent="0.3">
      <c r="AD340" s="60" t="s">
        <v>47</v>
      </c>
      <c r="AG340" s="8">
        <f>0.25*4*AG338</f>
        <v>20.203624889463047</v>
      </c>
      <c r="AH340" t="s">
        <v>44</v>
      </c>
      <c r="AK340" s="36"/>
    </row>
    <row r="341" spans="9:37" x14ac:dyDescent="0.3">
      <c r="AD341" s="37" t="s">
        <v>46</v>
      </c>
      <c r="AF341" t="s">
        <v>45</v>
      </c>
      <c r="AG341" s="59">
        <f>AG340*1.1</f>
        <v>22.223987378409355</v>
      </c>
      <c r="AH341" t="s">
        <v>44</v>
      </c>
      <c r="AK341" s="36"/>
    </row>
    <row r="342" spans="9:37" x14ac:dyDescent="0.3">
      <c r="AD342" s="35"/>
      <c r="AE342" s="6"/>
      <c r="AF342" s="6"/>
      <c r="AG342" s="6"/>
      <c r="AH342" s="6"/>
      <c r="AI342" s="6"/>
      <c r="AJ342" s="6"/>
      <c r="AK342" s="34"/>
    </row>
    <row r="343" spans="9:37" x14ac:dyDescent="0.3">
      <c r="I343" s="14" t="s">
        <v>43</v>
      </c>
      <c r="J343" s="12"/>
      <c r="K343" s="13" t="s">
        <v>42</v>
      </c>
      <c r="L343" s="12"/>
      <c r="M343" s="12"/>
      <c r="N343" s="11"/>
    </row>
    <row r="344" spans="9:37" x14ac:dyDescent="0.3">
      <c r="I344" s="9" t="s">
        <v>41</v>
      </c>
      <c r="J344" s="9">
        <v>10</v>
      </c>
      <c r="K344" s="9" t="s">
        <v>39</v>
      </c>
    </row>
    <row r="345" spans="9:37" x14ac:dyDescent="0.3">
      <c r="I345" s="9" t="s">
        <v>40</v>
      </c>
      <c r="J345" s="9">
        <v>20</v>
      </c>
      <c r="K345" s="9" t="s">
        <v>39</v>
      </c>
    </row>
    <row r="346" spans="9:37" x14ac:dyDescent="0.3">
      <c r="I346" s="9" t="s">
        <v>38</v>
      </c>
      <c r="J346" s="10">
        <f>J344*J345</f>
        <v>200</v>
      </c>
      <c r="K346" s="9" t="s">
        <v>37</v>
      </c>
    </row>
    <row r="354" spans="1:5" x14ac:dyDescent="0.3">
      <c r="A354" s="5" t="s">
        <v>36</v>
      </c>
    </row>
    <row r="356" spans="1:5" x14ac:dyDescent="0.3">
      <c r="A356" t="s">
        <v>35</v>
      </c>
      <c r="D356">
        <v>0</v>
      </c>
      <c r="E356" t="s">
        <v>6</v>
      </c>
    </row>
    <row r="357" spans="1:5" x14ac:dyDescent="0.3">
      <c r="A357" t="s">
        <v>34</v>
      </c>
      <c r="D357">
        <v>0</v>
      </c>
      <c r="E357" t="s">
        <v>33</v>
      </c>
    </row>
    <row r="359" spans="1:5" x14ac:dyDescent="0.3">
      <c r="A359" t="s">
        <v>32</v>
      </c>
      <c r="D359" s="8">
        <v>0</v>
      </c>
      <c r="E359" t="s">
        <v>6</v>
      </c>
    </row>
    <row r="360" spans="1:5" x14ac:dyDescent="0.3">
      <c r="A360" t="s">
        <v>31</v>
      </c>
      <c r="D360" s="7">
        <v>0</v>
      </c>
      <c r="E360" s="6" t="s">
        <v>6</v>
      </c>
    </row>
    <row r="361" spans="1:5" x14ac:dyDescent="0.3">
      <c r="A361" t="s">
        <v>30</v>
      </c>
      <c r="D361" s="4">
        <f>SUM(D359:D360)</f>
        <v>0</v>
      </c>
      <c r="E361" s="3" t="s">
        <v>6</v>
      </c>
    </row>
    <row r="365" spans="1:5" x14ac:dyDescent="0.3">
      <c r="A365" s="2" t="s">
        <v>29</v>
      </c>
    </row>
    <row r="367" spans="1:5" x14ac:dyDescent="0.3">
      <c r="A367" t="s">
        <v>28</v>
      </c>
      <c r="B367" t="s">
        <v>27</v>
      </c>
      <c r="C367">
        <v>0</v>
      </c>
      <c r="D367" t="s">
        <v>0</v>
      </c>
    </row>
    <row r="370" spans="1:4" x14ac:dyDescent="0.3">
      <c r="A370" s="2" t="s">
        <v>26</v>
      </c>
    </row>
    <row r="371" spans="1:4" x14ac:dyDescent="0.3">
      <c r="A371" s="2" t="s">
        <v>25</v>
      </c>
    </row>
    <row r="372" spans="1:4" x14ac:dyDescent="0.3">
      <c r="A372" t="s">
        <v>24</v>
      </c>
      <c r="C372">
        <v>0</v>
      </c>
      <c r="D372" t="s">
        <v>0</v>
      </c>
    </row>
    <row r="374" spans="1:4" x14ac:dyDescent="0.3">
      <c r="A374" t="s">
        <v>23</v>
      </c>
      <c r="C374" s="6">
        <v>0</v>
      </c>
      <c r="D374" s="6" t="s">
        <v>0</v>
      </c>
    </row>
    <row r="375" spans="1:4" x14ac:dyDescent="0.3">
      <c r="C375" s="3">
        <f>SUM(C372:C374)</f>
        <v>0</v>
      </c>
      <c r="D375" s="3" t="s">
        <v>0</v>
      </c>
    </row>
    <row r="378" spans="1:4" x14ac:dyDescent="0.3">
      <c r="A378" s="5" t="s">
        <v>22</v>
      </c>
    </row>
    <row r="379" spans="1:4" x14ac:dyDescent="0.3">
      <c r="A379" t="s">
        <v>21</v>
      </c>
      <c r="C379" s="3"/>
      <c r="D379" s="3" t="s">
        <v>0</v>
      </c>
    </row>
    <row r="384" spans="1:4" x14ac:dyDescent="0.3">
      <c r="A384" s="5" t="s">
        <v>20</v>
      </c>
    </row>
    <row r="385" spans="1:5" x14ac:dyDescent="0.3">
      <c r="A385" s="5"/>
    </row>
    <row r="386" spans="1:5" x14ac:dyDescent="0.3">
      <c r="A386" t="s">
        <v>432</v>
      </c>
      <c r="C386">
        <v>324</v>
      </c>
      <c r="D386" t="s">
        <v>11</v>
      </c>
      <c r="E386" t="s">
        <v>10</v>
      </c>
    </row>
    <row r="387" spans="1:5" x14ac:dyDescent="0.3">
      <c r="A387" t="s">
        <v>326</v>
      </c>
      <c r="C387">
        <f>9+3+23+26</f>
        <v>61</v>
      </c>
      <c r="D387" t="s">
        <v>11</v>
      </c>
    </row>
    <row r="388" spans="1:5" x14ac:dyDescent="0.3">
      <c r="A388" t="s">
        <v>368</v>
      </c>
      <c r="C388">
        <v>159</v>
      </c>
      <c r="D388" t="s">
        <v>11</v>
      </c>
    </row>
    <row r="390" spans="1:5" x14ac:dyDescent="0.3">
      <c r="A390" t="s">
        <v>19</v>
      </c>
    </row>
    <row r="391" spans="1:5" hidden="1" x14ac:dyDescent="0.3">
      <c r="A391" t="s">
        <v>15</v>
      </c>
      <c r="D391">
        <v>0</v>
      </c>
      <c r="E391" t="s">
        <v>6</v>
      </c>
    </row>
    <row r="392" spans="1:5" hidden="1" x14ac:dyDescent="0.3">
      <c r="A392" t="s">
        <v>7</v>
      </c>
      <c r="D392">
        <v>0</v>
      </c>
      <c r="E392" t="s">
        <v>6</v>
      </c>
    </row>
    <row r="393" spans="1:5" hidden="1" x14ac:dyDescent="0.3">
      <c r="A393" t="s">
        <v>5</v>
      </c>
      <c r="D393">
        <v>0</v>
      </c>
    </row>
    <row r="394" spans="1:5" x14ac:dyDescent="0.3">
      <c r="A394" t="s">
        <v>4</v>
      </c>
      <c r="C394">
        <v>61</v>
      </c>
      <c r="D394" t="s">
        <v>3</v>
      </c>
    </row>
    <row r="396" spans="1:5" x14ac:dyDescent="0.3">
      <c r="A396" t="s">
        <v>18</v>
      </c>
    </row>
    <row r="397" spans="1:5" hidden="1" x14ac:dyDescent="0.3">
      <c r="A397" t="s">
        <v>15</v>
      </c>
      <c r="D397">
        <v>0</v>
      </c>
      <c r="E397" t="s">
        <v>6</v>
      </c>
    </row>
    <row r="398" spans="1:5" hidden="1" x14ac:dyDescent="0.3">
      <c r="A398" t="s">
        <v>7</v>
      </c>
      <c r="D398">
        <v>0</v>
      </c>
      <c r="E398" t="s">
        <v>6</v>
      </c>
    </row>
    <row r="399" spans="1:5" hidden="1" x14ac:dyDescent="0.3">
      <c r="A399" t="s">
        <v>5</v>
      </c>
      <c r="D399">
        <v>0</v>
      </c>
    </row>
    <row r="400" spans="1:5" x14ac:dyDescent="0.3">
      <c r="A400" t="s">
        <v>4</v>
      </c>
      <c r="C400">
        <v>14</v>
      </c>
      <c r="D400" t="s">
        <v>3</v>
      </c>
    </row>
    <row r="402" spans="1:5" x14ac:dyDescent="0.3">
      <c r="A402" t="s">
        <v>347</v>
      </c>
    </row>
    <row r="403" spans="1:5" x14ac:dyDescent="0.3">
      <c r="A403" t="s">
        <v>15</v>
      </c>
      <c r="D403">
        <v>1</v>
      </c>
      <c r="E403" t="s">
        <v>6</v>
      </c>
    </row>
    <row r="404" spans="1:5" x14ac:dyDescent="0.3">
      <c r="A404" t="s">
        <v>7</v>
      </c>
      <c r="D404">
        <v>1</v>
      </c>
      <c r="E404" t="s">
        <v>6</v>
      </c>
    </row>
    <row r="405" spans="1:5" x14ac:dyDescent="0.3">
      <c r="A405" t="s">
        <v>5</v>
      </c>
      <c r="D405">
        <v>1</v>
      </c>
    </row>
    <row r="406" spans="1:5" x14ac:dyDescent="0.3">
      <c r="A406" t="s">
        <v>4</v>
      </c>
      <c r="C406">
        <v>1.5</v>
      </c>
      <c r="D406" t="s">
        <v>3</v>
      </c>
    </row>
    <row r="408" spans="1:5" x14ac:dyDescent="0.3">
      <c r="A408" t="s">
        <v>16</v>
      </c>
    </row>
    <row r="409" spans="1:5" x14ac:dyDescent="0.3">
      <c r="A409" t="s">
        <v>15</v>
      </c>
      <c r="D409">
        <v>0</v>
      </c>
      <c r="E409" t="s">
        <v>6</v>
      </c>
    </row>
    <row r="410" spans="1:5" x14ac:dyDescent="0.3">
      <c r="A410" t="s">
        <v>7</v>
      </c>
      <c r="D410">
        <v>0</v>
      </c>
      <c r="E410" t="s">
        <v>6</v>
      </c>
    </row>
    <row r="411" spans="1:5" x14ac:dyDescent="0.3">
      <c r="A411" t="s">
        <v>5</v>
      </c>
      <c r="D411">
        <v>0</v>
      </c>
    </row>
    <row r="412" spans="1:5" x14ac:dyDescent="0.3">
      <c r="A412" t="s">
        <v>4</v>
      </c>
      <c r="C412">
        <f>D409*D410*D411</f>
        <v>0</v>
      </c>
      <c r="D412" t="s">
        <v>3</v>
      </c>
    </row>
    <row r="414" spans="1:5" x14ac:dyDescent="0.3">
      <c r="A414" t="s">
        <v>14</v>
      </c>
      <c r="C414" s="3">
        <f>ROUNDUP(C386+C387+C388+C394+C400+C406+C412,0)</f>
        <v>621</v>
      </c>
      <c r="D414" s="3" t="s">
        <v>3</v>
      </c>
    </row>
    <row r="418" spans="1:5" x14ac:dyDescent="0.3">
      <c r="A418" s="2"/>
      <c r="B418" s="2"/>
      <c r="C418" s="2"/>
    </row>
    <row r="419" spans="1:5" x14ac:dyDescent="0.3">
      <c r="A419" s="5" t="s">
        <v>13</v>
      </c>
    </row>
    <row r="420" spans="1:5" x14ac:dyDescent="0.3">
      <c r="A420" s="5"/>
    </row>
    <row r="421" spans="1:5" x14ac:dyDescent="0.3">
      <c r="A421" t="s">
        <v>12</v>
      </c>
      <c r="C421">
        <v>0</v>
      </c>
      <c r="D421" t="s">
        <v>11</v>
      </c>
      <c r="E421" t="s">
        <v>10</v>
      </c>
    </row>
    <row r="422" spans="1:5" x14ac:dyDescent="0.3">
      <c r="A422" s="5"/>
    </row>
    <row r="423" spans="1:5" x14ac:dyDescent="0.3">
      <c r="A423" t="s">
        <v>9</v>
      </c>
    </row>
    <row r="424" spans="1:5" x14ac:dyDescent="0.3">
      <c r="A424" t="s">
        <v>8</v>
      </c>
      <c r="D424">
        <v>30</v>
      </c>
      <c r="E424" t="s">
        <v>6</v>
      </c>
    </row>
    <row r="425" spans="1:5" x14ac:dyDescent="0.3">
      <c r="A425" t="s">
        <v>7</v>
      </c>
      <c r="D425">
        <v>1.25</v>
      </c>
      <c r="E425" t="s">
        <v>6</v>
      </c>
    </row>
    <row r="426" spans="1:5" x14ac:dyDescent="0.3">
      <c r="A426" t="s">
        <v>5</v>
      </c>
      <c r="D426">
        <v>0</v>
      </c>
    </row>
    <row r="427" spans="1:5" x14ac:dyDescent="0.3">
      <c r="A427" t="s">
        <v>4</v>
      </c>
      <c r="C427">
        <f>D424*D425*D426</f>
        <v>0</v>
      </c>
      <c r="D427" t="s">
        <v>3</v>
      </c>
    </row>
    <row r="428" spans="1:5" x14ac:dyDescent="0.3">
      <c r="C428" s="4">
        <f>C427/9</f>
        <v>0</v>
      </c>
      <c r="D428" s="3" t="s">
        <v>2</v>
      </c>
    </row>
    <row r="431" spans="1:5" x14ac:dyDescent="0.3">
      <c r="A431" s="2" t="s">
        <v>1</v>
      </c>
      <c r="B431" s="1"/>
      <c r="C431" s="1"/>
      <c r="D431">
        <v>0</v>
      </c>
      <c r="E431" t="s">
        <v>0</v>
      </c>
    </row>
    <row r="434" spans="1:4" x14ac:dyDescent="0.3">
      <c r="A434" s="102" t="s">
        <v>371</v>
      </c>
      <c r="B434" s="6"/>
      <c r="C434" s="6"/>
      <c r="D434" s="5" t="s">
        <v>429</v>
      </c>
    </row>
    <row r="436" spans="1:4" x14ac:dyDescent="0.3">
      <c r="A436" t="s">
        <v>430</v>
      </c>
      <c r="C436">
        <v>28</v>
      </c>
      <c r="D436" t="s">
        <v>11</v>
      </c>
    </row>
    <row r="438" spans="1:4" x14ac:dyDescent="0.3">
      <c r="A438" t="s">
        <v>431</v>
      </c>
      <c r="C438" s="6">
        <v>38</v>
      </c>
      <c r="D438" s="6" t="s">
        <v>11</v>
      </c>
    </row>
    <row r="439" spans="1:4" x14ac:dyDescent="0.3">
      <c r="C439">
        <f>SUM(C436:C438)</f>
        <v>66</v>
      </c>
      <c r="D439" t="s">
        <v>11</v>
      </c>
    </row>
    <row r="451" spans="1:1" x14ac:dyDescent="0.3">
      <c r="A451" s="172"/>
    </row>
  </sheetData>
  <mergeCells count="16">
    <mergeCell ref="AN330:AN331"/>
    <mergeCell ref="AY330:AY331"/>
    <mergeCell ref="BJ330:BJ331"/>
    <mergeCell ref="AN323:AN325"/>
    <mergeCell ref="AY323:AY325"/>
    <mergeCell ref="BJ323:BJ325"/>
    <mergeCell ref="AD327:AD328"/>
    <mergeCell ref="AN327:AN328"/>
    <mergeCell ref="AY327:AY328"/>
    <mergeCell ref="BJ327:BJ328"/>
    <mergeCell ref="A25:B26"/>
    <mergeCell ref="A41:B42"/>
    <mergeCell ref="A295:K297"/>
    <mergeCell ref="AM304:AS304"/>
    <mergeCell ref="AX304:BD304"/>
    <mergeCell ref="BI304:BO304"/>
  </mergeCells>
  <pageMargins left="0.7" right="0.7" top="0.75" bottom="0.75" header="0.3" footer="0.3"/>
  <pageSetup paperSize="1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97B6-13E7-412D-9C29-9A4D7909DAEE}">
  <dimension ref="A1:BR448"/>
  <sheetViews>
    <sheetView workbookViewId="0">
      <selection activeCell="I13" sqref="I13"/>
    </sheetView>
  </sheetViews>
  <sheetFormatPr defaultRowHeight="14.4" x14ac:dyDescent="0.3"/>
  <cols>
    <col min="3" max="3" width="21.5546875" customWidth="1"/>
    <col min="4" max="4" width="22" customWidth="1"/>
    <col min="5" max="5" width="10.6640625" customWidth="1"/>
    <col min="9" max="9" width="12.88671875" customWidth="1"/>
    <col min="10" max="10" width="10.44140625" customWidth="1"/>
    <col min="12" max="12" width="12.88671875" customWidth="1"/>
    <col min="13" max="13" width="12.109375" customWidth="1"/>
    <col min="14" max="14" width="14.44140625" customWidth="1"/>
    <col min="15" max="15" width="14" customWidth="1"/>
    <col min="16" max="28" width="12.88671875" customWidth="1"/>
    <col min="30" max="31" width="13.44140625" customWidth="1"/>
    <col min="32" max="32" width="11" customWidth="1"/>
    <col min="40" max="40" width="14.44140625" customWidth="1"/>
    <col min="51" max="51" width="17.33203125" customWidth="1"/>
    <col min="62" max="62" width="16.5546875" customWidth="1"/>
  </cols>
  <sheetData>
    <row r="1" spans="1:5" x14ac:dyDescent="0.3">
      <c r="A1" s="2" t="s">
        <v>219</v>
      </c>
    </row>
    <row r="3" spans="1:5" x14ac:dyDescent="0.3">
      <c r="A3" t="s">
        <v>218</v>
      </c>
      <c r="C3">
        <v>0</v>
      </c>
    </row>
    <row r="4" spans="1:5" x14ac:dyDescent="0.3">
      <c r="A4" t="s">
        <v>217</v>
      </c>
      <c r="C4">
        <v>0</v>
      </c>
    </row>
    <row r="5" spans="1:5" x14ac:dyDescent="0.3">
      <c r="A5" t="s">
        <v>216</v>
      </c>
      <c r="C5" s="6">
        <f>7*2</f>
        <v>14</v>
      </c>
    </row>
    <row r="6" spans="1:5" x14ac:dyDescent="0.3">
      <c r="C6" s="3">
        <f>SUM(C3:C5)</f>
        <v>14</v>
      </c>
      <c r="D6" t="s">
        <v>0</v>
      </c>
    </row>
    <row r="8" spans="1:5" x14ac:dyDescent="0.3">
      <c r="A8" s="2" t="s">
        <v>451</v>
      </c>
    </row>
    <row r="9" spans="1:5" x14ac:dyDescent="0.3">
      <c r="A9" t="s">
        <v>193</v>
      </c>
    </row>
    <row r="10" spans="1:5" x14ac:dyDescent="0.3">
      <c r="A10" t="s">
        <v>446</v>
      </c>
      <c r="D10">
        <v>7</v>
      </c>
      <c r="E10" t="s">
        <v>0</v>
      </c>
    </row>
    <row r="13" spans="1:5" x14ac:dyDescent="0.3">
      <c r="A13" s="2" t="s">
        <v>215</v>
      </c>
    </row>
    <row r="14" spans="1:5" x14ac:dyDescent="0.3">
      <c r="A14" s="5"/>
    </row>
    <row r="15" spans="1:5" x14ac:dyDescent="0.3">
      <c r="A15" s="1" t="s">
        <v>201</v>
      </c>
    </row>
    <row r="16" spans="1:5" x14ac:dyDescent="0.3">
      <c r="A16" t="s">
        <v>200</v>
      </c>
      <c r="D16">
        <v>4.37</v>
      </c>
      <c r="E16" t="s">
        <v>11</v>
      </c>
    </row>
    <row r="17" spans="1:5" x14ac:dyDescent="0.3">
      <c r="A17" t="s">
        <v>199</v>
      </c>
      <c r="D17">
        <v>876.2</v>
      </c>
      <c r="E17" t="s">
        <v>6</v>
      </c>
    </row>
    <row r="18" spans="1:5" x14ac:dyDescent="0.3">
      <c r="A18" t="s">
        <v>198</v>
      </c>
      <c r="D18">
        <v>0</v>
      </c>
      <c r="E18" t="s">
        <v>0</v>
      </c>
    </row>
    <row r="19" spans="1:5" x14ac:dyDescent="0.3">
      <c r="A19" t="s">
        <v>189</v>
      </c>
      <c r="D19">
        <f>D16*D17*D18</f>
        <v>0</v>
      </c>
      <c r="E19" t="s">
        <v>214</v>
      </c>
    </row>
    <row r="20" spans="1:5" x14ac:dyDescent="0.3">
      <c r="D20">
        <f>ROUNDUP(D19/27,0)</f>
        <v>0</v>
      </c>
      <c r="E20" t="s">
        <v>187</v>
      </c>
    </row>
    <row r="22" spans="1:5" x14ac:dyDescent="0.3">
      <c r="A22" s="1" t="s">
        <v>213</v>
      </c>
    </row>
    <row r="24" spans="1:5" x14ac:dyDescent="0.3">
      <c r="A24" t="s">
        <v>211</v>
      </c>
      <c r="D24">
        <v>0</v>
      </c>
      <c r="E24" t="s">
        <v>6</v>
      </c>
    </row>
    <row r="25" spans="1:5" x14ac:dyDescent="0.3">
      <c r="A25" t="s">
        <v>35</v>
      </c>
      <c r="D25">
        <v>42</v>
      </c>
      <c r="E25" t="s">
        <v>6</v>
      </c>
    </row>
    <row r="26" spans="1:5" x14ac:dyDescent="0.3">
      <c r="A26" t="s">
        <v>210</v>
      </c>
      <c r="D26">
        <v>9</v>
      </c>
      <c r="E26" t="s">
        <v>206</v>
      </c>
    </row>
    <row r="27" spans="1:5" x14ac:dyDescent="0.3">
      <c r="A27" t="s">
        <v>209</v>
      </c>
      <c r="D27">
        <v>2.5</v>
      </c>
      <c r="E27" t="s">
        <v>206</v>
      </c>
    </row>
    <row r="28" spans="1:5" x14ac:dyDescent="0.3">
      <c r="A28" t="s">
        <v>208</v>
      </c>
      <c r="D28">
        <v>11.55</v>
      </c>
      <c r="E28" t="s">
        <v>206</v>
      </c>
    </row>
    <row r="29" spans="1:5" x14ac:dyDescent="0.3">
      <c r="A29" s="188" t="s">
        <v>207</v>
      </c>
      <c r="B29" s="188"/>
    </row>
    <row r="30" spans="1:5" x14ac:dyDescent="0.3">
      <c r="A30" s="188"/>
      <c r="B30" s="188"/>
      <c r="D30">
        <v>2.5</v>
      </c>
      <c r="E30" t="s">
        <v>206</v>
      </c>
    </row>
    <row r="31" spans="1:5" x14ac:dyDescent="0.3">
      <c r="A31" t="s">
        <v>205</v>
      </c>
      <c r="D31">
        <v>2</v>
      </c>
      <c r="E31" t="s">
        <v>6</v>
      </c>
    </row>
    <row r="32" spans="1:5" x14ac:dyDescent="0.3">
      <c r="A32" t="s">
        <v>204</v>
      </c>
      <c r="D32">
        <v>1.333</v>
      </c>
      <c r="E32" t="s">
        <v>6</v>
      </c>
    </row>
    <row r="34" spans="1:5" x14ac:dyDescent="0.3">
      <c r="A34" t="s">
        <v>203</v>
      </c>
      <c r="D34">
        <f>(D24*D25*(D28/12))+(3*(D24*(D26/12+D32)*D27/12))+(2*(D24*(D26/12+D31+(D32/(2*12))*D30)))</f>
        <v>0</v>
      </c>
      <c r="E34" t="s">
        <v>188</v>
      </c>
    </row>
    <row r="35" spans="1:5" x14ac:dyDescent="0.3">
      <c r="D35">
        <f>D34/27</f>
        <v>0</v>
      </c>
      <c r="E35" t="s">
        <v>187</v>
      </c>
    </row>
    <row r="38" spans="1:5" x14ac:dyDescent="0.3">
      <c r="A38" s="1" t="s">
        <v>212</v>
      </c>
    </row>
    <row r="40" spans="1:5" x14ac:dyDescent="0.3">
      <c r="A40" t="s">
        <v>211</v>
      </c>
      <c r="D40">
        <v>0</v>
      </c>
      <c r="E40" t="s">
        <v>6</v>
      </c>
    </row>
    <row r="41" spans="1:5" x14ac:dyDescent="0.3">
      <c r="A41" t="s">
        <v>35</v>
      </c>
      <c r="D41">
        <v>42</v>
      </c>
      <c r="E41" t="s">
        <v>6</v>
      </c>
    </row>
    <row r="42" spans="1:5" x14ac:dyDescent="0.3">
      <c r="A42" t="s">
        <v>210</v>
      </c>
      <c r="D42">
        <v>9</v>
      </c>
      <c r="E42" t="s">
        <v>206</v>
      </c>
    </row>
    <row r="43" spans="1:5" ht="15" customHeight="1" x14ac:dyDescent="0.3">
      <c r="A43" t="s">
        <v>209</v>
      </c>
      <c r="D43">
        <v>2.5</v>
      </c>
      <c r="E43" t="s">
        <v>206</v>
      </c>
    </row>
    <row r="44" spans="1:5" x14ac:dyDescent="0.3">
      <c r="A44" t="s">
        <v>208</v>
      </c>
      <c r="D44">
        <v>11.55</v>
      </c>
      <c r="E44" t="s">
        <v>206</v>
      </c>
    </row>
    <row r="45" spans="1:5" x14ac:dyDescent="0.3">
      <c r="A45" s="188" t="s">
        <v>207</v>
      </c>
      <c r="B45" s="188"/>
    </row>
    <row r="46" spans="1:5" x14ac:dyDescent="0.3">
      <c r="A46" s="188"/>
      <c r="B46" s="188"/>
      <c r="D46">
        <v>2.5</v>
      </c>
      <c r="E46" t="s">
        <v>206</v>
      </c>
    </row>
    <row r="47" spans="1:5" x14ac:dyDescent="0.3">
      <c r="A47" t="s">
        <v>205</v>
      </c>
      <c r="D47">
        <v>2</v>
      </c>
      <c r="E47" t="s">
        <v>6</v>
      </c>
    </row>
    <row r="48" spans="1:5" x14ac:dyDescent="0.3">
      <c r="A48" t="s">
        <v>204</v>
      </c>
      <c r="D48">
        <v>1.333</v>
      </c>
      <c r="E48" t="s">
        <v>6</v>
      </c>
    </row>
    <row r="50" spans="1:5" x14ac:dyDescent="0.3">
      <c r="A50" t="s">
        <v>203</v>
      </c>
      <c r="D50">
        <f>(D40*D41*(D44/12))+(3*(D40*(D42/12+D48)*D43/12))+(2*(D40*(D42/12+D47+(D48/(2*12))*D46)))</f>
        <v>0</v>
      </c>
      <c r="E50" t="s">
        <v>188</v>
      </c>
    </row>
    <row r="51" spans="1:5" x14ac:dyDescent="0.3">
      <c r="D51">
        <f>D50/27</f>
        <v>0</v>
      </c>
      <c r="E51" t="s">
        <v>187</v>
      </c>
    </row>
    <row r="53" spans="1:5" x14ac:dyDescent="0.3">
      <c r="A53" s="3" t="s">
        <v>133</v>
      </c>
      <c r="B53" s="3"/>
      <c r="C53" s="3"/>
      <c r="D53" s="3">
        <f>ROUNDUP(D20+D35+D51,0)</f>
        <v>0</v>
      </c>
      <c r="E53" s="3" t="s">
        <v>187</v>
      </c>
    </row>
    <row r="55" spans="1:5" x14ac:dyDescent="0.3">
      <c r="A55" s="2" t="s">
        <v>202</v>
      </c>
    </row>
    <row r="57" spans="1:5" x14ac:dyDescent="0.3">
      <c r="A57" s="1" t="s">
        <v>201</v>
      </c>
    </row>
    <row r="58" spans="1:5" x14ac:dyDescent="0.3">
      <c r="A58" t="s">
        <v>200</v>
      </c>
      <c r="D58">
        <f>2*1.5</f>
        <v>3</v>
      </c>
      <c r="E58" t="s">
        <v>11</v>
      </c>
    </row>
    <row r="59" spans="1:5" x14ac:dyDescent="0.3">
      <c r="A59" t="s">
        <v>199</v>
      </c>
      <c r="D59">
        <v>0</v>
      </c>
      <c r="E59" t="s">
        <v>6</v>
      </c>
    </row>
    <row r="60" spans="1:5" x14ac:dyDescent="0.3">
      <c r="A60" t="s">
        <v>198</v>
      </c>
      <c r="D60">
        <v>1</v>
      </c>
      <c r="E60" t="s">
        <v>0</v>
      </c>
    </row>
    <row r="61" spans="1:5" x14ac:dyDescent="0.3">
      <c r="A61" t="s">
        <v>197</v>
      </c>
      <c r="D61">
        <v>2</v>
      </c>
      <c r="E61" t="s">
        <v>196</v>
      </c>
    </row>
    <row r="62" spans="1:5" x14ac:dyDescent="0.3">
      <c r="A62" t="s">
        <v>195</v>
      </c>
      <c r="D62">
        <v>0</v>
      </c>
      <c r="E62" t="s">
        <v>0</v>
      </c>
    </row>
    <row r="64" spans="1:5" x14ac:dyDescent="0.3">
      <c r="A64" t="s">
        <v>189</v>
      </c>
      <c r="D64">
        <f>(D58*D59*D60/27)+(D61*D62)</f>
        <v>0</v>
      </c>
      <c r="E64" t="s">
        <v>187</v>
      </c>
    </row>
    <row r="67" spans="1:5" x14ac:dyDescent="0.3">
      <c r="A67" s="1" t="s">
        <v>194</v>
      </c>
    </row>
    <row r="69" spans="1:5" x14ac:dyDescent="0.3">
      <c r="A69" t="s">
        <v>192</v>
      </c>
      <c r="D69">
        <v>1.25</v>
      </c>
      <c r="E69" t="s">
        <v>6</v>
      </c>
    </row>
    <row r="70" spans="1:5" x14ac:dyDescent="0.3">
      <c r="A70" t="s">
        <v>191</v>
      </c>
      <c r="D70">
        <v>0</v>
      </c>
      <c r="E70" t="s">
        <v>6</v>
      </c>
    </row>
    <row r="71" spans="1:5" x14ac:dyDescent="0.3">
      <c r="A71" t="s">
        <v>190</v>
      </c>
      <c r="D71">
        <v>1.7</v>
      </c>
      <c r="E71" t="s">
        <v>6</v>
      </c>
    </row>
    <row r="73" spans="1:5" x14ac:dyDescent="0.3">
      <c r="A73" t="s">
        <v>189</v>
      </c>
      <c r="D73">
        <f>D69*D70*D71</f>
        <v>0</v>
      </c>
      <c r="E73" t="s">
        <v>188</v>
      </c>
    </row>
    <row r="74" spans="1:5" x14ac:dyDescent="0.3">
      <c r="D74">
        <f>D73/27</f>
        <v>0</v>
      </c>
      <c r="E74" t="s">
        <v>187</v>
      </c>
    </row>
    <row r="76" spans="1:5" x14ac:dyDescent="0.3">
      <c r="A76" s="1" t="s">
        <v>193</v>
      </c>
    </row>
    <row r="78" spans="1:5" x14ac:dyDescent="0.3">
      <c r="A78" t="s">
        <v>192</v>
      </c>
      <c r="D78">
        <v>1.25</v>
      </c>
      <c r="E78" t="s">
        <v>6</v>
      </c>
    </row>
    <row r="79" spans="1:5" x14ac:dyDescent="0.3">
      <c r="A79" t="s">
        <v>191</v>
      </c>
      <c r="D79">
        <v>0</v>
      </c>
      <c r="E79" t="s">
        <v>6</v>
      </c>
    </row>
    <row r="80" spans="1:5" x14ac:dyDescent="0.3">
      <c r="A80" t="s">
        <v>190</v>
      </c>
      <c r="D80">
        <v>1.7</v>
      </c>
      <c r="E80" t="s">
        <v>6</v>
      </c>
    </row>
    <row r="82" spans="1:6" x14ac:dyDescent="0.3">
      <c r="A82" t="s">
        <v>189</v>
      </c>
      <c r="D82">
        <f>D78*D79*D80</f>
        <v>0</v>
      </c>
      <c r="E82" t="s">
        <v>188</v>
      </c>
    </row>
    <row r="83" spans="1:6" x14ac:dyDescent="0.3">
      <c r="D83">
        <f>D82/27</f>
        <v>0</v>
      </c>
      <c r="E83" t="s">
        <v>187</v>
      </c>
    </row>
    <row r="84" spans="1:6" x14ac:dyDescent="0.3">
      <c r="F84">
        <v>0</v>
      </c>
    </row>
    <row r="85" spans="1:6" x14ac:dyDescent="0.3">
      <c r="A85" s="3" t="s">
        <v>21</v>
      </c>
      <c r="B85" s="3"/>
      <c r="C85" s="3"/>
      <c r="D85" s="3">
        <f>ROUNDUP((D64+D74+D83),0)</f>
        <v>0</v>
      </c>
      <c r="E85" s="3" t="s">
        <v>187</v>
      </c>
    </row>
    <row r="89" spans="1:6" x14ac:dyDescent="0.3">
      <c r="B89" s="1"/>
      <c r="C89" s="1"/>
      <c r="D89" s="1"/>
      <c r="E89" s="1"/>
    </row>
    <row r="90" spans="1:6" x14ac:dyDescent="0.3">
      <c r="A90" s="107" t="s">
        <v>186</v>
      </c>
      <c r="B90" s="1"/>
      <c r="C90" s="1"/>
      <c r="D90" s="1"/>
      <c r="E90" s="1"/>
    </row>
    <row r="91" spans="1:6" x14ac:dyDescent="0.3">
      <c r="A91" s="5"/>
    </row>
    <row r="92" spans="1:6" x14ac:dyDescent="0.3">
      <c r="A92" s="6" t="s">
        <v>170</v>
      </c>
      <c r="B92" s="6"/>
    </row>
    <row r="93" spans="1:6" x14ac:dyDescent="0.3">
      <c r="A93" t="s">
        <v>332</v>
      </c>
      <c r="D93">
        <v>0</v>
      </c>
      <c r="E93" t="s">
        <v>6</v>
      </c>
    </row>
    <row r="94" spans="1:6" x14ac:dyDescent="0.3">
      <c r="A94" t="s">
        <v>168</v>
      </c>
      <c r="D94">
        <f>0.25+2.8+0.75+1.583+0.167+1.25+0.167+1+0.5</f>
        <v>8.4669999999999987</v>
      </c>
      <c r="E94" t="s">
        <v>6</v>
      </c>
    </row>
    <row r="95" spans="1:6" x14ac:dyDescent="0.3">
      <c r="A95" t="s">
        <v>167</v>
      </c>
      <c r="D95">
        <v>1</v>
      </c>
    </row>
    <row r="96" spans="1:6" x14ac:dyDescent="0.3">
      <c r="A96" t="s">
        <v>166</v>
      </c>
      <c r="D96">
        <f>D93*D94*D95</f>
        <v>0</v>
      </c>
      <c r="E96" t="s">
        <v>3</v>
      </c>
    </row>
    <row r="97" spans="1:5" x14ac:dyDescent="0.3">
      <c r="D97" s="8">
        <f>D96/9</f>
        <v>0</v>
      </c>
      <c r="E97" t="s">
        <v>2</v>
      </c>
    </row>
    <row r="99" spans="1:5" x14ac:dyDescent="0.3">
      <c r="A99" s="1" t="s">
        <v>185</v>
      </c>
    </row>
    <row r="100" spans="1:5" x14ac:dyDescent="0.3">
      <c r="A100" t="s">
        <v>184</v>
      </c>
      <c r="D100">
        <v>0</v>
      </c>
    </row>
    <row r="101" spans="1:5" x14ac:dyDescent="0.3">
      <c r="A101" t="s">
        <v>183</v>
      </c>
      <c r="D101">
        <v>3</v>
      </c>
      <c r="E101" t="s">
        <v>6</v>
      </c>
    </row>
    <row r="102" spans="1:5" x14ac:dyDescent="0.3">
      <c r="A102" t="s">
        <v>182</v>
      </c>
      <c r="D102">
        <f>D101*4</f>
        <v>12</v>
      </c>
      <c r="E102" t="s">
        <v>3</v>
      </c>
    </row>
    <row r="103" spans="1:5" x14ac:dyDescent="0.3">
      <c r="A103" t="s">
        <v>181</v>
      </c>
      <c r="D103">
        <v>2</v>
      </c>
    </row>
    <row r="105" spans="1:5" x14ac:dyDescent="0.3">
      <c r="A105" t="s">
        <v>180</v>
      </c>
      <c r="D105">
        <f>D101*3</f>
        <v>9</v>
      </c>
      <c r="E105" t="s">
        <v>3</v>
      </c>
    </row>
    <row r="106" spans="1:5" x14ac:dyDescent="0.3">
      <c r="A106" t="s">
        <v>179</v>
      </c>
      <c r="D106">
        <v>2</v>
      </c>
    </row>
    <row r="108" spans="1:5" x14ac:dyDescent="0.3">
      <c r="A108" t="s">
        <v>178</v>
      </c>
      <c r="D108">
        <f>D101*(4+5.5)/2</f>
        <v>14.25</v>
      </c>
      <c r="E108" t="s">
        <v>3</v>
      </c>
    </row>
    <row r="109" spans="1:5" x14ac:dyDescent="0.3">
      <c r="A109" t="s">
        <v>177</v>
      </c>
      <c r="D109">
        <v>4</v>
      </c>
    </row>
    <row r="111" spans="1:5" x14ac:dyDescent="0.3">
      <c r="A111" t="s">
        <v>176</v>
      </c>
    </row>
    <row r="112" spans="1:5" x14ac:dyDescent="0.3">
      <c r="A112" t="s">
        <v>175</v>
      </c>
      <c r="D112">
        <f>ATAN(7.5/15)*180/PI()</f>
        <v>26.56505117707799</v>
      </c>
      <c r="E112" t="s">
        <v>33</v>
      </c>
    </row>
    <row r="113" spans="1:9" x14ac:dyDescent="0.3">
      <c r="A113" t="s">
        <v>174</v>
      </c>
      <c r="D113" s="8">
        <f>3/COS(D112*PI()/180)</f>
        <v>3.3541019662496847</v>
      </c>
      <c r="E113" t="s">
        <v>6</v>
      </c>
    </row>
    <row r="114" spans="1:9" x14ac:dyDescent="0.3">
      <c r="A114" t="s">
        <v>173</v>
      </c>
      <c r="D114" s="8">
        <f>D101*D113</f>
        <v>10.062305898749054</v>
      </c>
      <c r="E114" t="s">
        <v>3</v>
      </c>
    </row>
    <row r="115" spans="1:9" x14ac:dyDescent="0.3">
      <c r="A115" t="s">
        <v>172</v>
      </c>
      <c r="D115">
        <v>2</v>
      </c>
    </row>
    <row r="117" spans="1:9" x14ac:dyDescent="0.3">
      <c r="A117" t="s">
        <v>145</v>
      </c>
      <c r="D117">
        <f>D100*(D102*D103+D105*D106+D108*D109+D114*D115)</f>
        <v>0</v>
      </c>
      <c r="E117" t="s">
        <v>3</v>
      </c>
    </row>
    <row r="118" spans="1:9" x14ac:dyDescent="0.3">
      <c r="D118">
        <f>D117/9</f>
        <v>0</v>
      </c>
      <c r="E118" t="s">
        <v>2</v>
      </c>
    </row>
    <row r="120" spans="1:9" x14ac:dyDescent="0.3">
      <c r="A120" s="6" t="s">
        <v>164</v>
      </c>
      <c r="B120" s="6"/>
      <c r="C120" s="6"/>
      <c r="D120" s="6"/>
      <c r="E120" s="6"/>
      <c r="F120" s="6"/>
      <c r="G120" s="6"/>
      <c r="H120" s="6"/>
      <c r="I120" s="6"/>
    </row>
    <row r="122" spans="1:9" x14ac:dyDescent="0.3">
      <c r="A122" t="s">
        <v>162</v>
      </c>
      <c r="D122">
        <v>0</v>
      </c>
      <c r="E122" t="s">
        <v>6</v>
      </c>
    </row>
    <row r="123" spans="1:9" x14ac:dyDescent="0.3">
      <c r="A123" t="s">
        <v>161</v>
      </c>
      <c r="D123">
        <v>0</v>
      </c>
      <c r="E123" t="s">
        <v>6</v>
      </c>
    </row>
    <row r="124" spans="1:9" x14ac:dyDescent="0.3">
      <c r="A124" t="s">
        <v>160</v>
      </c>
      <c r="D124">
        <v>2.5</v>
      </c>
      <c r="E124" t="s">
        <v>6</v>
      </c>
    </row>
    <row r="125" spans="1:9" x14ac:dyDescent="0.3">
      <c r="A125" t="s">
        <v>159</v>
      </c>
      <c r="D125">
        <v>1.75</v>
      </c>
      <c r="E125" t="s">
        <v>6</v>
      </c>
    </row>
    <row r="126" spans="1:9" x14ac:dyDescent="0.3">
      <c r="A126" t="s">
        <v>158</v>
      </c>
      <c r="D126">
        <v>0</v>
      </c>
      <c r="E126" t="s">
        <v>6</v>
      </c>
    </row>
    <row r="127" spans="1:9" x14ac:dyDescent="0.3">
      <c r="A127" t="s">
        <v>157</v>
      </c>
      <c r="D127">
        <v>0</v>
      </c>
      <c r="E127" t="s">
        <v>6</v>
      </c>
    </row>
    <row r="129" spans="1:9" x14ac:dyDescent="0.3">
      <c r="A129" t="s">
        <v>156</v>
      </c>
      <c r="D129">
        <f>D123*D124</f>
        <v>0</v>
      </c>
      <c r="E129" t="s">
        <v>3</v>
      </c>
    </row>
    <row r="130" spans="1:9" x14ac:dyDescent="0.3">
      <c r="A130" t="s">
        <v>155</v>
      </c>
      <c r="D130">
        <f>D123*D122</f>
        <v>0</v>
      </c>
      <c r="E130" t="s">
        <v>3</v>
      </c>
    </row>
    <row r="131" spans="1:9" x14ac:dyDescent="0.3">
      <c r="A131" t="s">
        <v>154</v>
      </c>
      <c r="D131">
        <f>2*(D122*D124)</f>
        <v>0</v>
      </c>
      <c r="E131" t="s">
        <v>3</v>
      </c>
    </row>
    <row r="132" spans="1:9" x14ac:dyDescent="0.3">
      <c r="A132" t="s">
        <v>153</v>
      </c>
      <c r="D132">
        <f>4*D122*D127</f>
        <v>0</v>
      </c>
      <c r="E132" t="s">
        <v>3</v>
      </c>
    </row>
    <row r="133" spans="1:9" ht="15" customHeight="1" x14ac:dyDescent="0.3">
      <c r="A133" s="84" t="s">
        <v>152</v>
      </c>
      <c r="B133" s="25"/>
      <c r="D133">
        <f>D126*D123</f>
        <v>0</v>
      </c>
      <c r="E133" t="s">
        <v>3</v>
      </c>
    </row>
    <row r="134" spans="1:9" x14ac:dyDescent="0.3">
      <c r="A134" s="25"/>
      <c r="B134" s="25"/>
      <c r="I134" s="105"/>
    </row>
    <row r="135" spans="1:9" x14ac:dyDescent="0.3">
      <c r="A135" s="84" t="s">
        <v>333</v>
      </c>
      <c r="B135" s="25"/>
      <c r="I135" s="105"/>
    </row>
    <row r="136" spans="1:9" x14ac:dyDescent="0.3">
      <c r="A136" s="84" t="s">
        <v>151</v>
      </c>
      <c r="B136" s="71"/>
      <c r="D136">
        <v>8.5</v>
      </c>
      <c r="E136" t="s">
        <v>6</v>
      </c>
    </row>
    <row r="137" spans="1:9" x14ac:dyDescent="0.3">
      <c r="A137" s="84" t="s">
        <v>150</v>
      </c>
      <c r="B137" s="71"/>
      <c r="D137">
        <v>15</v>
      </c>
      <c r="E137" t="s">
        <v>6</v>
      </c>
    </row>
    <row r="138" spans="1:9" x14ac:dyDescent="0.3">
      <c r="A138" s="84" t="s">
        <v>149</v>
      </c>
      <c r="B138" s="71"/>
      <c r="D138">
        <f>D136*D137</f>
        <v>127.5</v>
      </c>
      <c r="E138" t="s">
        <v>3</v>
      </c>
    </row>
    <row r="139" spans="1:9" x14ac:dyDescent="0.3">
      <c r="A139" s="84" t="s">
        <v>148</v>
      </c>
      <c r="B139" s="82"/>
      <c r="D139">
        <v>0</v>
      </c>
      <c r="E139" t="s">
        <v>0</v>
      </c>
    </row>
    <row r="140" spans="1:9" x14ac:dyDescent="0.3">
      <c r="A140" s="84"/>
      <c r="B140" s="71"/>
    </row>
    <row r="141" spans="1:9" ht="15" customHeight="1" x14ac:dyDescent="0.3">
      <c r="A141" s="84" t="s">
        <v>147</v>
      </c>
      <c r="B141" s="82"/>
      <c r="D141">
        <f>(5.16*4.5)+(11.3*9.5)+(3.67*2)</f>
        <v>137.91</v>
      </c>
      <c r="E141" t="s">
        <v>3</v>
      </c>
    </row>
    <row r="142" spans="1:9" x14ac:dyDescent="0.3">
      <c r="A142" s="84" t="s">
        <v>146</v>
      </c>
      <c r="B142" s="82"/>
      <c r="D142">
        <v>0</v>
      </c>
      <c r="E142" t="s">
        <v>0</v>
      </c>
    </row>
    <row r="143" spans="1:9" x14ac:dyDescent="0.3">
      <c r="A143" s="84"/>
      <c r="B143" s="82"/>
    </row>
    <row r="144" spans="1:9" x14ac:dyDescent="0.3">
      <c r="A144" s="84" t="s">
        <v>334</v>
      </c>
      <c r="B144" s="25"/>
    </row>
    <row r="145" spans="1:9" x14ac:dyDescent="0.3">
      <c r="A145" s="84" t="s">
        <v>151</v>
      </c>
      <c r="B145" s="71"/>
      <c r="D145">
        <v>8.5</v>
      </c>
      <c r="E145" t="s">
        <v>6</v>
      </c>
    </row>
    <row r="146" spans="1:9" x14ac:dyDescent="0.3">
      <c r="A146" s="84" t="s">
        <v>150</v>
      </c>
      <c r="B146" s="71"/>
      <c r="D146">
        <v>84</v>
      </c>
      <c r="E146" t="s">
        <v>6</v>
      </c>
    </row>
    <row r="147" spans="1:9" x14ac:dyDescent="0.3">
      <c r="A147" s="84" t="s">
        <v>149</v>
      </c>
      <c r="B147" s="71"/>
      <c r="D147">
        <f>D145*D146</f>
        <v>714</v>
      </c>
      <c r="E147" t="s">
        <v>3</v>
      </c>
    </row>
    <row r="148" spans="1:9" x14ac:dyDescent="0.3">
      <c r="A148" s="84" t="s">
        <v>148</v>
      </c>
      <c r="B148" s="82"/>
      <c r="D148">
        <v>0</v>
      </c>
      <c r="E148" t="s">
        <v>0</v>
      </c>
    </row>
    <row r="149" spans="1:9" x14ac:dyDescent="0.3">
      <c r="A149" s="84"/>
      <c r="B149" s="71"/>
    </row>
    <row r="150" spans="1:9" x14ac:dyDescent="0.3">
      <c r="A150" s="84" t="s">
        <v>147</v>
      </c>
      <c r="B150" s="82"/>
      <c r="D150">
        <f>(40*10)+(36*5)+(8*2)</f>
        <v>596</v>
      </c>
      <c r="E150" t="s">
        <v>3</v>
      </c>
    </row>
    <row r="151" spans="1:9" x14ac:dyDescent="0.3">
      <c r="A151" s="84" t="s">
        <v>146</v>
      </c>
      <c r="B151" s="82"/>
      <c r="D151">
        <v>0</v>
      </c>
      <c r="E151" t="s">
        <v>0</v>
      </c>
    </row>
    <row r="153" spans="1:9" x14ac:dyDescent="0.3">
      <c r="A153" t="s">
        <v>145</v>
      </c>
      <c r="D153" s="8">
        <f>D129+D130+D131+D132+D133+(D138*D139)+(D141*D142)+(D147*D148)+(D150*D151)</f>
        <v>0</v>
      </c>
      <c r="E153" t="s">
        <v>3</v>
      </c>
    </row>
    <row r="154" spans="1:9" x14ac:dyDescent="0.3">
      <c r="D154" s="8">
        <f>D153/9</f>
        <v>0</v>
      </c>
      <c r="E154" t="s">
        <v>2</v>
      </c>
    </row>
    <row r="157" spans="1:9" x14ac:dyDescent="0.3">
      <c r="A157" s="6" t="s">
        <v>163</v>
      </c>
      <c r="B157" s="6"/>
      <c r="C157" s="6"/>
      <c r="D157" s="6"/>
      <c r="E157" s="6"/>
      <c r="F157" s="6"/>
      <c r="G157" s="6"/>
      <c r="H157" s="6"/>
      <c r="I157" s="6"/>
    </row>
    <row r="159" spans="1:9" x14ac:dyDescent="0.3">
      <c r="A159" t="s">
        <v>162</v>
      </c>
      <c r="D159">
        <v>0</v>
      </c>
      <c r="E159" t="s">
        <v>6</v>
      </c>
    </row>
    <row r="160" spans="1:9" x14ac:dyDescent="0.3">
      <c r="A160" t="s">
        <v>161</v>
      </c>
      <c r="D160">
        <v>0</v>
      </c>
      <c r="E160" t="s">
        <v>6</v>
      </c>
    </row>
    <row r="161" spans="1:5" x14ac:dyDescent="0.3">
      <c r="A161" t="s">
        <v>160</v>
      </c>
      <c r="D161">
        <v>2.5</v>
      </c>
      <c r="E161" t="s">
        <v>6</v>
      </c>
    </row>
    <row r="162" spans="1:5" x14ac:dyDescent="0.3">
      <c r="A162" t="s">
        <v>159</v>
      </c>
      <c r="D162">
        <v>1.75</v>
      </c>
      <c r="E162" t="s">
        <v>6</v>
      </c>
    </row>
    <row r="163" spans="1:5" x14ac:dyDescent="0.3">
      <c r="A163" t="s">
        <v>158</v>
      </c>
      <c r="D163">
        <v>0</v>
      </c>
      <c r="E163" t="s">
        <v>6</v>
      </c>
    </row>
    <row r="164" spans="1:5" x14ac:dyDescent="0.3">
      <c r="A164" t="s">
        <v>157</v>
      </c>
      <c r="D164">
        <v>0</v>
      </c>
      <c r="E164" t="s">
        <v>6</v>
      </c>
    </row>
    <row r="166" spans="1:5" x14ac:dyDescent="0.3">
      <c r="A166" t="s">
        <v>156</v>
      </c>
      <c r="D166">
        <f>D160*D161</f>
        <v>0</v>
      </c>
      <c r="E166" t="s">
        <v>3</v>
      </c>
    </row>
    <row r="167" spans="1:5" x14ac:dyDescent="0.3">
      <c r="A167" t="s">
        <v>155</v>
      </c>
      <c r="D167">
        <f>D160*D159</f>
        <v>0</v>
      </c>
      <c r="E167" t="s">
        <v>3</v>
      </c>
    </row>
    <row r="168" spans="1:5" x14ac:dyDescent="0.3">
      <c r="A168" t="s">
        <v>154</v>
      </c>
      <c r="D168">
        <f>2*(D159*D161)</f>
        <v>0</v>
      </c>
      <c r="E168" t="s">
        <v>3</v>
      </c>
    </row>
    <row r="169" spans="1:5" ht="15" customHeight="1" x14ac:dyDescent="0.3">
      <c r="A169" t="s">
        <v>153</v>
      </c>
      <c r="D169">
        <f>4*D159*D164</f>
        <v>0</v>
      </c>
      <c r="E169" t="s">
        <v>3</v>
      </c>
    </row>
    <row r="170" spans="1:5" x14ac:dyDescent="0.3">
      <c r="A170" s="84" t="s">
        <v>152</v>
      </c>
      <c r="B170" s="25"/>
      <c r="D170">
        <f>D163*D160</f>
        <v>0</v>
      </c>
      <c r="E170" t="s">
        <v>3</v>
      </c>
    </row>
    <row r="171" spans="1:5" x14ac:dyDescent="0.3">
      <c r="A171" s="25"/>
      <c r="B171" s="25"/>
    </row>
    <row r="172" spans="1:5" x14ac:dyDescent="0.3">
      <c r="A172" s="84" t="s">
        <v>335</v>
      </c>
      <c r="B172" s="25"/>
    </row>
    <row r="173" spans="1:5" x14ac:dyDescent="0.3">
      <c r="A173" s="84" t="s">
        <v>151</v>
      </c>
      <c r="B173" s="71"/>
      <c r="D173">
        <v>8.5</v>
      </c>
      <c r="E173" t="s">
        <v>6</v>
      </c>
    </row>
    <row r="174" spans="1:5" x14ac:dyDescent="0.3">
      <c r="A174" s="84" t="s">
        <v>150</v>
      </c>
      <c r="B174" s="71"/>
      <c r="D174">
        <v>60</v>
      </c>
      <c r="E174" t="s">
        <v>6</v>
      </c>
    </row>
    <row r="175" spans="1:5" x14ac:dyDescent="0.3">
      <c r="A175" s="84" t="s">
        <v>149</v>
      </c>
      <c r="B175" s="71"/>
      <c r="D175">
        <f>D173*D174</f>
        <v>510</v>
      </c>
      <c r="E175" t="s">
        <v>3</v>
      </c>
    </row>
    <row r="176" spans="1:5" x14ac:dyDescent="0.3">
      <c r="A176" s="84" t="s">
        <v>148</v>
      </c>
      <c r="B176" s="82"/>
      <c r="D176">
        <v>0</v>
      </c>
      <c r="E176" t="s">
        <v>0</v>
      </c>
    </row>
    <row r="177" spans="1:5" x14ac:dyDescent="0.3">
      <c r="A177" s="84"/>
      <c r="B177" s="71"/>
    </row>
    <row r="178" spans="1:5" x14ac:dyDescent="0.3">
      <c r="A178" s="84" t="s">
        <v>147</v>
      </c>
      <c r="B178" s="82"/>
      <c r="D178">
        <f>(5.16*4.5)+(11.3*9.5)+(3.67*2)</f>
        <v>137.91</v>
      </c>
      <c r="E178" t="s">
        <v>3</v>
      </c>
    </row>
    <row r="179" spans="1:5" x14ac:dyDescent="0.3">
      <c r="A179" s="84" t="s">
        <v>146</v>
      </c>
      <c r="B179" s="82"/>
      <c r="D179">
        <v>0</v>
      </c>
      <c r="E179" t="s">
        <v>0</v>
      </c>
    </row>
    <row r="180" spans="1:5" x14ac:dyDescent="0.3">
      <c r="A180" s="84"/>
      <c r="B180" s="82"/>
    </row>
    <row r="181" spans="1:5" x14ac:dyDescent="0.3">
      <c r="A181" s="84" t="s">
        <v>336</v>
      </c>
      <c r="B181" s="25"/>
    </row>
    <row r="182" spans="1:5" x14ac:dyDescent="0.3">
      <c r="A182" s="84" t="s">
        <v>151</v>
      </c>
      <c r="B182" s="71"/>
      <c r="D182">
        <v>8.5</v>
      </c>
      <c r="E182" t="s">
        <v>6</v>
      </c>
    </row>
    <row r="183" spans="1:5" x14ac:dyDescent="0.3">
      <c r="A183" s="84" t="s">
        <v>150</v>
      </c>
      <c r="B183" s="71"/>
      <c r="D183">
        <v>15</v>
      </c>
      <c r="E183" t="s">
        <v>6</v>
      </c>
    </row>
    <row r="184" spans="1:5" x14ac:dyDescent="0.3">
      <c r="A184" s="84" t="s">
        <v>149</v>
      </c>
      <c r="B184" s="71"/>
      <c r="D184">
        <f>D182*D183</f>
        <v>127.5</v>
      </c>
      <c r="E184" t="s">
        <v>3</v>
      </c>
    </row>
    <row r="185" spans="1:5" x14ac:dyDescent="0.3">
      <c r="A185" s="84" t="s">
        <v>148</v>
      </c>
      <c r="B185" s="82"/>
      <c r="D185">
        <v>0</v>
      </c>
      <c r="E185" t="s">
        <v>0</v>
      </c>
    </row>
    <row r="186" spans="1:5" x14ac:dyDescent="0.3">
      <c r="A186" s="84"/>
      <c r="B186" s="71"/>
    </row>
    <row r="187" spans="1:5" x14ac:dyDescent="0.3">
      <c r="A187" s="84" t="s">
        <v>147</v>
      </c>
      <c r="B187" s="82"/>
      <c r="D187">
        <f>(40*10)+(36*5)+(8*2)</f>
        <v>596</v>
      </c>
      <c r="E187" t="s">
        <v>3</v>
      </c>
    </row>
    <row r="188" spans="1:5" x14ac:dyDescent="0.3">
      <c r="A188" s="84" t="s">
        <v>146</v>
      </c>
      <c r="B188" s="82"/>
      <c r="D188">
        <v>0</v>
      </c>
      <c r="E188" t="s">
        <v>0</v>
      </c>
    </row>
    <row r="189" spans="1:5" x14ac:dyDescent="0.3">
      <c r="A189" s="82"/>
      <c r="B189" s="82"/>
    </row>
    <row r="191" spans="1:5" x14ac:dyDescent="0.3">
      <c r="A191" t="s">
        <v>145</v>
      </c>
      <c r="D191" s="8">
        <f>D166+D167+D168+D169+D170+(D175*D176)+(D178*D179)+(D184*D185)+(D187*D188)</f>
        <v>0</v>
      </c>
      <c r="E191" t="s">
        <v>3</v>
      </c>
    </row>
    <row r="192" spans="1:5" x14ac:dyDescent="0.3">
      <c r="D192" s="8">
        <f>D191/9</f>
        <v>0</v>
      </c>
      <c r="E192" t="s">
        <v>2</v>
      </c>
    </row>
    <row r="194" spans="1:9" x14ac:dyDescent="0.3">
      <c r="A194" s="3" t="s">
        <v>144</v>
      </c>
      <c r="B194" s="3"/>
      <c r="C194" s="3"/>
      <c r="D194" s="4">
        <f>ROUNDUP(D97+D118+D154+D192,0)</f>
        <v>0</v>
      </c>
      <c r="E194" s="3" t="s">
        <v>2</v>
      </c>
    </row>
    <row r="197" spans="1:9" x14ac:dyDescent="0.3">
      <c r="A197" s="2" t="s">
        <v>171</v>
      </c>
    </row>
    <row r="199" spans="1:9" x14ac:dyDescent="0.3">
      <c r="A199" s="6" t="s">
        <v>170</v>
      </c>
      <c r="B199" s="6"/>
    </row>
    <row r="200" spans="1:9" x14ac:dyDescent="0.3">
      <c r="A200" t="s">
        <v>332</v>
      </c>
      <c r="D200">
        <f>357+372.7</f>
        <v>729.7</v>
      </c>
      <c r="E200" t="s">
        <v>6</v>
      </c>
    </row>
    <row r="201" spans="1:9" x14ac:dyDescent="0.3">
      <c r="A201" t="s">
        <v>168</v>
      </c>
      <c r="D201">
        <f>0.25+2.8+0.75+1.583+0.167+1.25+0.167+1+0.5</f>
        <v>8.4669999999999987</v>
      </c>
      <c r="E201" t="s">
        <v>6</v>
      </c>
    </row>
    <row r="202" spans="1:9" x14ac:dyDescent="0.3">
      <c r="A202" t="s">
        <v>167</v>
      </c>
      <c r="D202">
        <v>0</v>
      </c>
    </row>
    <row r="203" spans="1:9" x14ac:dyDescent="0.3">
      <c r="A203" t="s">
        <v>166</v>
      </c>
      <c r="D203">
        <f>D200*D201*D202</f>
        <v>0</v>
      </c>
      <c r="E203" t="s">
        <v>3</v>
      </c>
    </row>
    <row r="204" spans="1:9" x14ac:dyDescent="0.3">
      <c r="D204" s="161">
        <f>D203/9</f>
        <v>0</v>
      </c>
      <c r="E204" t="s">
        <v>2</v>
      </c>
      <c r="F204" s="104"/>
    </row>
    <row r="207" spans="1:9" x14ac:dyDescent="0.3">
      <c r="A207" s="6" t="s">
        <v>164</v>
      </c>
      <c r="B207" s="6"/>
      <c r="C207" s="6"/>
      <c r="D207" s="6"/>
      <c r="E207" s="6"/>
      <c r="F207" s="6"/>
      <c r="G207" s="6"/>
      <c r="H207" s="6"/>
      <c r="I207" s="6"/>
    </row>
    <row r="209" spans="1:9" x14ac:dyDescent="0.3">
      <c r="A209" t="s">
        <v>162</v>
      </c>
      <c r="D209">
        <v>0</v>
      </c>
      <c r="E209" t="s">
        <v>6</v>
      </c>
    </row>
    <row r="210" spans="1:9" x14ac:dyDescent="0.3">
      <c r="A210" t="s">
        <v>161</v>
      </c>
      <c r="D210">
        <v>0</v>
      </c>
      <c r="E210" t="s">
        <v>6</v>
      </c>
    </row>
    <row r="211" spans="1:9" x14ac:dyDescent="0.3">
      <c r="A211" t="s">
        <v>160</v>
      </c>
      <c r="D211">
        <v>0</v>
      </c>
      <c r="E211" t="s">
        <v>6</v>
      </c>
    </row>
    <row r="212" spans="1:9" x14ac:dyDescent="0.3">
      <c r="A212" t="s">
        <v>159</v>
      </c>
      <c r="D212">
        <v>0</v>
      </c>
      <c r="E212" t="s">
        <v>6</v>
      </c>
    </row>
    <row r="213" spans="1:9" x14ac:dyDescent="0.3">
      <c r="A213" t="s">
        <v>158</v>
      </c>
      <c r="D213">
        <v>0</v>
      </c>
      <c r="E213" t="s">
        <v>6</v>
      </c>
    </row>
    <row r="214" spans="1:9" x14ac:dyDescent="0.3">
      <c r="A214" t="s">
        <v>157</v>
      </c>
      <c r="D214">
        <v>0</v>
      </c>
      <c r="E214" t="s">
        <v>6</v>
      </c>
    </row>
    <row r="216" spans="1:9" x14ac:dyDescent="0.3">
      <c r="A216" t="s">
        <v>156</v>
      </c>
      <c r="D216">
        <f>D210*D211</f>
        <v>0</v>
      </c>
      <c r="E216" t="s">
        <v>3</v>
      </c>
    </row>
    <row r="217" spans="1:9" x14ac:dyDescent="0.3">
      <c r="A217" t="s">
        <v>155</v>
      </c>
      <c r="D217">
        <f>D210*D209</f>
        <v>0</v>
      </c>
      <c r="E217" t="s">
        <v>3</v>
      </c>
    </row>
    <row r="218" spans="1:9" x14ac:dyDescent="0.3">
      <c r="A218" t="s">
        <v>154</v>
      </c>
      <c r="D218">
        <f>2*(D209*D211)</f>
        <v>0</v>
      </c>
      <c r="E218" t="s">
        <v>3</v>
      </c>
    </row>
    <row r="219" spans="1:9" x14ac:dyDescent="0.3">
      <c r="A219" t="s">
        <v>153</v>
      </c>
      <c r="D219">
        <f>4*D209*D214</f>
        <v>0</v>
      </c>
      <c r="E219" t="s">
        <v>3</v>
      </c>
    </row>
    <row r="220" spans="1:9" ht="15" customHeight="1" x14ac:dyDescent="0.3">
      <c r="A220" s="84" t="s">
        <v>152</v>
      </c>
      <c r="B220" s="25"/>
      <c r="D220">
        <f>D213*D210</f>
        <v>0</v>
      </c>
      <c r="E220" t="s">
        <v>3</v>
      </c>
    </row>
    <row r="221" spans="1:9" x14ac:dyDescent="0.3">
      <c r="A221" s="25"/>
      <c r="B221" s="25"/>
      <c r="I221" s="105"/>
    </row>
    <row r="222" spans="1:9" x14ac:dyDescent="0.3">
      <c r="A222" s="84" t="s">
        <v>151</v>
      </c>
      <c r="B222" s="71"/>
      <c r="D222">
        <v>7.5</v>
      </c>
      <c r="E222" t="s">
        <v>6</v>
      </c>
    </row>
    <row r="223" spans="1:9" x14ac:dyDescent="0.3">
      <c r="A223" s="84" t="s">
        <v>150</v>
      </c>
      <c r="B223" s="71"/>
      <c r="D223">
        <v>29</v>
      </c>
      <c r="E223" t="s">
        <v>6</v>
      </c>
    </row>
    <row r="224" spans="1:9" x14ac:dyDescent="0.3">
      <c r="A224" s="84" t="s">
        <v>149</v>
      </c>
      <c r="B224" s="71"/>
      <c r="D224">
        <f>D222*D223</f>
        <v>217.5</v>
      </c>
      <c r="E224" t="s">
        <v>3</v>
      </c>
    </row>
    <row r="225" spans="1:9" x14ac:dyDescent="0.3">
      <c r="A225" s="84" t="s">
        <v>148</v>
      </c>
      <c r="B225" s="82"/>
      <c r="D225">
        <v>0</v>
      </c>
      <c r="E225" t="s">
        <v>0</v>
      </c>
    </row>
    <row r="226" spans="1:9" x14ac:dyDescent="0.3">
      <c r="A226" s="84"/>
      <c r="B226" s="71"/>
    </row>
    <row r="227" spans="1:9" ht="15" customHeight="1" x14ac:dyDescent="0.3">
      <c r="A227" s="84" t="s">
        <v>147</v>
      </c>
      <c r="B227" s="82"/>
      <c r="D227">
        <f>(20*8)+(3*4)+(6*3)</f>
        <v>190</v>
      </c>
      <c r="E227" t="s">
        <v>3</v>
      </c>
    </row>
    <row r="228" spans="1:9" x14ac:dyDescent="0.3">
      <c r="A228" s="84" t="s">
        <v>146</v>
      </c>
      <c r="B228" s="82"/>
      <c r="D228">
        <v>0</v>
      </c>
      <c r="E228" t="s">
        <v>0</v>
      </c>
    </row>
    <row r="229" spans="1:9" x14ac:dyDescent="0.3">
      <c r="A229" s="82"/>
      <c r="B229" s="82"/>
    </row>
    <row r="231" spans="1:9" x14ac:dyDescent="0.3">
      <c r="A231" t="s">
        <v>145</v>
      </c>
      <c r="D231" s="8">
        <f>D216+D217+D218+D219+D220+(D224*D225)+(D227*D228)</f>
        <v>0</v>
      </c>
      <c r="E231" t="s">
        <v>3</v>
      </c>
    </row>
    <row r="232" spans="1:9" x14ac:dyDescent="0.3">
      <c r="D232" s="8">
        <f>D231/9</f>
        <v>0</v>
      </c>
      <c r="E232" t="s">
        <v>2</v>
      </c>
    </row>
    <row r="235" spans="1:9" x14ac:dyDescent="0.3">
      <c r="A235" s="6" t="s">
        <v>163</v>
      </c>
      <c r="B235" s="6"/>
      <c r="C235" s="6"/>
      <c r="D235" s="6"/>
      <c r="E235" s="6"/>
      <c r="F235" s="6"/>
      <c r="G235" s="6"/>
      <c r="H235" s="6"/>
      <c r="I235" s="6"/>
    </row>
    <row r="237" spans="1:9" x14ac:dyDescent="0.3">
      <c r="A237" t="s">
        <v>162</v>
      </c>
      <c r="D237">
        <v>0</v>
      </c>
      <c r="E237" t="s">
        <v>6</v>
      </c>
    </row>
    <row r="238" spans="1:9" x14ac:dyDescent="0.3">
      <c r="A238" t="s">
        <v>161</v>
      </c>
      <c r="D238">
        <v>0</v>
      </c>
      <c r="E238" t="s">
        <v>6</v>
      </c>
    </row>
    <row r="239" spans="1:9" x14ac:dyDescent="0.3">
      <c r="A239" t="s">
        <v>160</v>
      </c>
      <c r="D239">
        <v>0</v>
      </c>
      <c r="E239" t="s">
        <v>6</v>
      </c>
    </row>
    <row r="240" spans="1:9" x14ac:dyDescent="0.3">
      <c r="A240" t="s">
        <v>159</v>
      </c>
      <c r="D240">
        <v>0</v>
      </c>
      <c r="E240" t="s">
        <v>6</v>
      </c>
    </row>
    <row r="241" spans="1:5" x14ac:dyDescent="0.3">
      <c r="A241" t="s">
        <v>158</v>
      </c>
      <c r="D241">
        <v>0</v>
      </c>
      <c r="E241" t="s">
        <v>6</v>
      </c>
    </row>
    <row r="242" spans="1:5" x14ac:dyDescent="0.3">
      <c r="A242" t="s">
        <v>157</v>
      </c>
      <c r="D242">
        <v>0</v>
      </c>
      <c r="E242" t="s">
        <v>6</v>
      </c>
    </row>
    <row r="244" spans="1:5" x14ac:dyDescent="0.3">
      <c r="A244" t="s">
        <v>156</v>
      </c>
      <c r="D244">
        <f>D238*D239</f>
        <v>0</v>
      </c>
      <c r="E244" t="s">
        <v>3</v>
      </c>
    </row>
    <row r="245" spans="1:5" x14ac:dyDescent="0.3">
      <c r="A245" t="s">
        <v>155</v>
      </c>
      <c r="D245">
        <f>D238*D237</f>
        <v>0</v>
      </c>
      <c r="E245" t="s">
        <v>3</v>
      </c>
    </row>
    <row r="246" spans="1:5" x14ac:dyDescent="0.3">
      <c r="A246" t="s">
        <v>154</v>
      </c>
      <c r="D246">
        <f>2*(D237*D239)</f>
        <v>0</v>
      </c>
      <c r="E246" t="s">
        <v>3</v>
      </c>
    </row>
    <row r="247" spans="1:5" ht="15" customHeight="1" x14ac:dyDescent="0.3">
      <c r="A247" t="s">
        <v>153</v>
      </c>
      <c r="D247">
        <f>4*D237*D242</f>
        <v>0</v>
      </c>
      <c r="E247" t="s">
        <v>3</v>
      </c>
    </row>
    <row r="248" spans="1:5" x14ac:dyDescent="0.3">
      <c r="A248" s="84" t="s">
        <v>152</v>
      </c>
      <c r="B248" s="25"/>
      <c r="D248">
        <f>D241*D238</f>
        <v>0</v>
      </c>
      <c r="E248" t="s">
        <v>3</v>
      </c>
    </row>
    <row r="249" spans="1:5" x14ac:dyDescent="0.3">
      <c r="A249" s="25"/>
      <c r="B249" s="25"/>
    </row>
    <row r="250" spans="1:5" x14ac:dyDescent="0.3">
      <c r="A250" s="84" t="s">
        <v>151</v>
      </c>
      <c r="B250" s="71"/>
      <c r="D250">
        <v>7.5</v>
      </c>
      <c r="E250" t="s">
        <v>6</v>
      </c>
    </row>
    <row r="251" spans="1:5" x14ac:dyDescent="0.3">
      <c r="A251" s="84" t="s">
        <v>150</v>
      </c>
      <c r="B251" s="71"/>
      <c r="D251">
        <v>29</v>
      </c>
      <c r="E251" t="s">
        <v>6</v>
      </c>
    </row>
    <row r="252" spans="1:5" x14ac:dyDescent="0.3">
      <c r="A252" s="84" t="s">
        <v>149</v>
      </c>
      <c r="B252" s="71"/>
      <c r="D252">
        <f>D250*D251</f>
        <v>217.5</v>
      </c>
      <c r="E252" t="s">
        <v>3</v>
      </c>
    </row>
    <row r="253" spans="1:5" x14ac:dyDescent="0.3">
      <c r="A253" s="84" t="s">
        <v>148</v>
      </c>
      <c r="B253" s="82"/>
      <c r="D253">
        <v>0</v>
      </c>
      <c r="E253" t="s">
        <v>0</v>
      </c>
    </row>
    <row r="254" spans="1:5" ht="15" customHeight="1" x14ac:dyDescent="0.3">
      <c r="A254" s="84"/>
      <c r="B254" s="71"/>
    </row>
    <row r="255" spans="1:5" x14ac:dyDescent="0.3">
      <c r="A255" s="84" t="s">
        <v>147</v>
      </c>
      <c r="B255" s="82"/>
      <c r="D255">
        <f>(20*8)+(3*4)+(6*3)</f>
        <v>190</v>
      </c>
      <c r="E255" t="s">
        <v>3</v>
      </c>
    </row>
    <row r="256" spans="1:5" x14ac:dyDescent="0.3">
      <c r="A256" s="84" t="s">
        <v>146</v>
      </c>
      <c r="B256" s="82"/>
      <c r="D256">
        <v>0</v>
      </c>
      <c r="E256" t="s">
        <v>0</v>
      </c>
    </row>
    <row r="257" spans="1:7" x14ac:dyDescent="0.3">
      <c r="A257" s="82"/>
      <c r="B257" s="82"/>
    </row>
    <row r="259" spans="1:7" x14ac:dyDescent="0.3">
      <c r="A259" t="s">
        <v>145</v>
      </c>
      <c r="D259" s="8">
        <f>D244+D245+D246+D247+D248+(D252*D253)+(D255*D256)</f>
        <v>0</v>
      </c>
      <c r="E259" t="s">
        <v>3</v>
      </c>
    </row>
    <row r="260" spans="1:7" x14ac:dyDescent="0.3">
      <c r="D260" s="8">
        <f>D259/9</f>
        <v>0</v>
      </c>
      <c r="E260" t="s">
        <v>2</v>
      </c>
    </row>
    <row r="262" spans="1:7" x14ac:dyDescent="0.3">
      <c r="A262" s="3" t="s">
        <v>144</v>
      </c>
      <c r="B262" s="3"/>
      <c r="C262" s="3"/>
      <c r="D262" s="4">
        <f>ROUNDUP(D204+D232+D260,0)</f>
        <v>0</v>
      </c>
      <c r="E262" s="3" t="s">
        <v>2</v>
      </c>
    </row>
    <row r="266" spans="1:7" x14ac:dyDescent="0.3">
      <c r="A266" s="5" t="s">
        <v>324</v>
      </c>
    </row>
    <row r="268" spans="1:7" x14ac:dyDescent="0.3">
      <c r="A268" t="s">
        <v>143</v>
      </c>
      <c r="D268">
        <v>25</v>
      </c>
      <c r="E268" t="s">
        <v>6</v>
      </c>
    </row>
    <row r="269" spans="1:7" x14ac:dyDescent="0.3">
      <c r="A269" t="s">
        <v>142</v>
      </c>
      <c r="D269">
        <v>24</v>
      </c>
      <c r="E269" t="s">
        <v>6</v>
      </c>
      <c r="F269" t="s">
        <v>136</v>
      </c>
    </row>
    <row r="270" spans="1:7" x14ac:dyDescent="0.3">
      <c r="A270" t="s">
        <v>141</v>
      </c>
      <c r="D270">
        <v>0</v>
      </c>
    </row>
    <row r="271" spans="1:7" x14ac:dyDescent="0.3">
      <c r="A271" t="s">
        <v>140</v>
      </c>
      <c r="D271">
        <f>D268*D269*D270</f>
        <v>0</v>
      </c>
      <c r="E271" t="s">
        <v>134</v>
      </c>
      <c r="F271">
        <f>D271/9</f>
        <v>0</v>
      </c>
      <c r="G271" t="s">
        <v>2</v>
      </c>
    </row>
    <row r="273" spans="1:7" x14ac:dyDescent="0.3">
      <c r="A273" t="s">
        <v>139</v>
      </c>
      <c r="D273">
        <v>0</v>
      </c>
      <c r="E273" t="s">
        <v>6</v>
      </c>
      <c r="F273" t="s">
        <v>138</v>
      </c>
    </row>
    <row r="274" spans="1:7" x14ac:dyDescent="0.3">
      <c r="A274" t="s">
        <v>137</v>
      </c>
      <c r="D274">
        <v>38.5</v>
      </c>
      <c r="E274" t="s">
        <v>6</v>
      </c>
      <c r="F274" t="s">
        <v>136</v>
      </c>
    </row>
    <row r="275" spans="1:7" x14ac:dyDescent="0.3">
      <c r="A275" t="s">
        <v>135</v>
      </c>
      <c r="D275">
        <f>D273*D274</f>
        <v>0</v>
      </c>
      <c r="E275" t="s">
        <v>134</v>
      </c>
      <c r="F275">
        <f>D275/9</f>
        <v>0</v>
      </c>
      <c r="G275" t="s">
        <v>2</v>
      </c>
    </row>
    <row r="277" spans="1:7" x14ac:dyDescent="0.3">
      <c r="A277" s="3" t="s">
        <v>133</v>
      </c>
      <c r="B277" s="3">
        <f>ROUNDUP(F271+F275,0)</f>
        <v>0</v>
      </c>
      <c r="C277" s="3" t="s">
        <v>2</v>
      </c>
    </row>
    <row r="280" spans="1:7" x14ac:dyDescent="0.3">
      <c r="A280" s="2" t="s">
        <v>412</v>
      </c>
      <c r="G280" t="s">
        <v>274</v>
      </c>
    </row>
    <row r="281" spans="1:7" hidden="1" x14ac:dyDescent="0.3"/>
    <row r="282" spans="1:7" hidden="1" x14ac:dyDescent="0.3"/>
    <row r="283" spans="1:7" hidden="1" x14ac:dyDescent="0.3"/>
    <row r="284" spans="1:7" hidden="1" x14ac:dyDescent="0.3"/>
    <row r="285" spans="1:7" hidden="1" x14ac:dyDescent="0.3"/>
    <row r="286" spans="1:7" hidden="1" x14ac:dyDescent="0.3">
      <c r="A286" s="5" t="s">
        <v>132</v>
      </c>
    </row>
    <row r="287" spans="1:7" hidden="1" x14ac:dyDescent="0.3">
      <c r="A287" t="s">
        <v>131</v>
      </c>
      <c r="F287">
        <v>0</v>
      </c>
      <c r="G287" t="s">
        <v>0</v>
      </c>
    </row>
    <row r="289" spans="1:70" x14ac:dyDescent="0.3">
      <c r="A289" s="102" t="s">
        <v>436</v>
      </c>
      <c r="B289" s="6"/>
      <c r="C289" s="6"/>
    </row>
    <row r="290" spans="1:70" x14ac:dyDescent="0.3">
      <c r="A290" t="s">
        <v>437</v>
      </c>
      <c r="D290">
        <v>7</v>
      </c>
      <c r="E290" t="s">
        <v>0</v>
      </c>
    </row>
    <row r="291" spans="1:70" x14ac:dyDescent="0.3">
      <c r="A291" t="s">
        <v>439</v>
      </c>
      <c r="D291" s="8">
        <f>42*0.42</f>
        <v>17.64</v>
      </c>
      <c r="E291" t="s">
        <v>434</v>
      </c>
    </row>
    <row r="292" spans="1:70" x14ac:dyDescent="0.3">
      <c r="A292" t="s">
        <v>438</v>
      </c>
      <c r="D292" s="8">
        <f>(10.75*17*1.125)/1728*490</f>
        <v>58.299153645833329</v>
      </c>
      <c r="E292" t="s">
        <v>434</v>
      </c>
    </row>
    <row r="293" spans="1:70" x14ac:dyDescent="0.3">
      <c r="A293" t="s">
        <v>440</v>
      </c>
      <c r="D293">
        <f>ROUNDUP(D290*(D291+D292),0)</f>
        <v>532</v>
      </c>
      <c r="E293" t="s">
        <v>434</v>
      </c>
    </row>
    <row r="295" spans="1:70" x14ac:dyDescent="0.3">
      <c r="A295" s="104"/>
    </row>
    <row r="296" spans="1:70" x14ac:dyDescent="0.3">
      <c r="A296" s="194" t="s">
        <v>130</v>
      </c>
      <c r="B296" s="194"/>
      <c r="C296" s="194"/>
      <c r="D296" s="194"/>
      <c r="E296" s="194"/>
      <c r="F296" s="194"/>
      <c r="G296" s="194"/>
      <c r="H296" s="194"/>
      <c r="I296" s="194"/>
      <c r="J296" s="194"/>
      <c r="K296" s="194"/>
    </row>
    <row r="297" spans="1:70" x14ac:dyDescent="0.3">
      <c r="A297" s="194"/>
      <c r="B297" s="194"/>
      <c r="C297" s="194"/>
      <c r="D297" s="194"/>
      <c r="E297" s="194"/>
      <c r="F297" s="194"/>
      <c r="G297" s="194"/>
      <c r="H297" s="194"/>
      <c r="I297" s="194"/>
      <c r="J297" s="194"/>
      <c r="K297" s="194"/>
    </row>
    <row r="298" spans="1:70" x14ac:dyDescent="0.3">
      <c r="A298" s="194"/>
      <c r="B298" s="194"/>
      <c r="C298" s="194"/>
      <c r="D298" s="194"/>
      <c r="E298" s="194"/>
      <c r="F298" s="194"/>
      <c r="G298" s="194"/>
      <c r="H298" s="194"/>
      <c r="I298" s="194"/>
      <c r="J298" s="194"/>
      <c r="K298" s="194"/>
    </row>
    <row r="299" spans="1:70" ht="15.6" x14ac:dyDescent="0.3">
      <c r="G299" s="5"/>
      <c r="AR299" s="103"/>
    </row>
    <row r="300" spans="1:70" ht="15.6" x14ac:dyDescent="0.3">
      <c r="F300" s="102" t="s">
        <v>128</v>
      </c>
      <c r="G300" s="102"/>
      <c r="H300" s="34"/>
      <c r="I300" s="101" t="s">
        <v>62</v>
      </c>
      <c r="J300" s="9">
        <f>(2*(60+2.375))+(3*16)-(2*0.375)</f>
        <v>172</v>
      </c>
      <c r="K300" s="9" t="s">
        <v>64</v>
      </c>
      <c r="L300" s="101" t="s">
        <v>126</v>
      </c>
      <c r="N300" s="101" t="s">
        <v>62</v>
      </c>
      <c r="O300" s="9"/>
      <c r="P300" s="9" t="s">
        <v>64</v>
      </c>
      <c r="Q300" s="101" t="s">
        <v>126</v>
      </c>
      <c r="R300" s="101" t="s">
        <v>62</v>
      </c>
      <c r="S300" s="9"/>
      <c r="T300" s="9" t="s">
        <v>64</v>
      </c>
      <c r="U300" s="101" t="s">
        <v>126</v>
      </c>
      <c r="V300" s="100"/>
      <c r="W300" s="100"/>
      <c r="X300" s="100"/>
      <c r="Y300" s="100"/>
      <c r="Z300" s="100"/>
      <c r="AA300" s="100"/>
      <c r="AB300" s="100"/>
    </row>
    <row r="301" spans="1:70" ht="57.6" x14ac:dyDescent="0.3">
      <c r="B301">
        <v>514</v>
      </c>
      <c r="C301" s="87" t="s">
        <v>125</v>
      </c>
      <c r="D301" s="71" t="s">
        <v>124</v>
      </c>
      <c r="E301" t="s">
        <v>3</v>
      </c>
      <c r="F301" s="83">
        <f>N337</f>
        <v>2944.565094629902</v>
      </c>
      <c r="G301" s="53">
        <v>0</v>
      </c>
      <c r="H301" s="92">
        <f t="shared" ref="H301:H306" si="0">SUM(F301:G301)</f>
        <v>2944.565094629902</v>
      </c>
      <c r="I301" s="99" t="s">
        <v>222</v>
      </c>
      <c r="J301" s="76">
        <f>J300/12</f>
        <v>14.333333333333334</v>
      </c>
      <c r="K301" s="9" t="s">
        <v>39</v>
      </c>
      <c r="L301" s="98"/>
      <c r="N301" s="99" t="s">
        <v>123</v>
      </c>
      <c r="O301" s="9">
        <f>O300/12</f>
        <v>0</v>
      </c>
      <c r="P301" s="9" t="s">
        <v>39</v>
      </c>
      <c r="Q301" s="98"/>
      <c r="R301" s="99" t="s">
        <v>122</v>
      </c>
      <c r="S301" s="9">
        <f>S300/12</f>
        <v>0</v>
      </c>
      <c r="T301" s="9" t="s">
        <v>39</v>
      </c>
      <c r="U301" s="98"/>
      <c r="V301" s="88"/>
      <c r="W301" s="88"/>
      <c r="X301" s="88"/>
      <c r="Y301" s="88"/>
      <c r="Z301" s="88"/>
      <c r="AA301" s="88"/>
      <c r="AB301" s="88"/>
    </row>
    <row r="302" spans="1:70" ht="43.2" x14ac:dyDescent="0.3">
      <c r="B302">
        <v>514</v>
      </c>
      <c r="C302" s="87" t="s">
        <v>121</v>
      </c>
      <c r="D302" s="71" t="s">
        <v>120</v>
      </c>
      <c r="E302" t="s">
        <v>3</v>
      </c>
      <c r="F302" s="83">
        <f>N337</f>
        <v>2944.565094629902</v>
      </c>
      <c r="G302" s="53">
        <v>0</v>
      </c>
      <c r="H302" s="92">
        <f t="shared" si="0"/>
        <v>2944.565094629902</v>
      </c>
      <c r="AD302" s="43"/>
      <c r="AE302" s="97" t="s">
        <v>252</v>
      </c>
      <c r="AF302" s="42"/>
      <c r="AG302" s="42"/>
      <c r="AH302" s="42"/>
      <c r="AI302" s="42"/>
      <c r="AJ302" s="42"/>
      <c r="AK302" s="41"/>
      <c r="AM302" s="96" t="s">
        <v>253</v>
      </c>
      <c r="AN302" s="42"/>
      <c r="AO302" s="42"/>
      <c r="AP302" s="42"/>
      <c r="AQ302" s="42"/>
      <c r="AR302" s="42"/>
      <c r="AS302" s="42"/>
      <c r="AT302" s="42"/>
      <c r="AU302" s="42"/>
      <c r="AV302" s="41"/>
      <c r="AX302" s="96" t="s">
        <v>254</v>
      </c>
      <c r="AY302" s="42"/>
      <c r="AZ302" s="42"/>
      <c r="BA302" s="42"/>
      <c r="BB302" s="42"/>
      <c r="BC302" s="42"/>
      <c r="BD302" s="42"/>
      <c r="BE302" s="42"/>
      <c r="BF302" s="42"/>
      <c r="BG302" s="41"/>
      <c r="BI302" s="95" t="s">
        <v>117</v>
      </c>
      <c r="BJ302" s="39"/>
      <c r="BK302" s="39"/>
      <c r="BL302" s="39"/>
      <c r="BM302" s="39"/>
      <c r="BN302" s="39"/>
      <c r="BO302" s="39"/>
      <c r="BP302" s="39"/>
      <c r="BQ302" s="39"/>
      <c r="BR302" s="38"/>
    </row>
    <row r="303" spans="1:70" ht="57.6" x14ac:dyDescent="0.3">
      <c r="B303">
        <v>514</v>
      </c>
      <c r="C303" s="87" t="s">
        <v>116</v>
      </c>
      <c r="D303" s="71" t="s">
        <v>115</v>
      </c>
      <c r="E303" t="s">
        <v>3</v>
      </c>
      <c r="F303" s="83">
        <f>N337</f>
        <v>2944.565094629902</v>
      </c>
      <c r="G303" s="53">
        <v>0</v>
      </c>
      <c r="H303" s="92">
        <f t="shared" si="0"/>
        <v>2944.565094629902</v>
      </c>
      <c r="I303" s="9" t="s">
        <v>40</v>
      </c>
      <c r="J303" s="76">
        <v>10</v>
      </c>
      <c r="K303" s="9" t="s">
        <v>39</v>
      </c>
      <c r="L303" s="9" t="s">
        <v>40</v>
      </c>
      <c r="M303" s="9"/>
      <c r="N303" s="9" t="s">
        <v>39</v>
      </c>
      <c r="O303" s="9" t="s">
        <v>40</v>
      </c>
      <c r="P303" s="9"/>
      <c r="Q303" s="9" t="s">
        <v>39</v>
      </c>
      <c r="R303" s="9" t="s">
        <v>39</v>
      </c>
      <c r="S303" s="9" t="s">
        <v>40</v>
      </c>
      <c r="T303" s="9"/>
      <c r="U303" s="9" t="s">
        <v>39</v>
      </c>
      <c r="V303" s="9" t="s">
        <v>40</v>
      </c>
      <c r="W303" s="9"/>
      <c r="X303" s="9" t="s">
        <v>39</v>
      </c>
      <c r="Y303" s="9" t="s">
        <v>40</v>
      </c>
      <c r="Z303" s="9"/>
      <c r="AA303" s="9" t="s">
        <v>39</v>
      </c>
      <c r="AD303" s="37"/>
      <c r="AF303" t="s">
        <v>69</v>
      </c>
      <c r="AH303" t="s">
        <v>220</v>
      </c>
      <c r="AJ303" s="94">
        <v>6.1</v>
      </c>
      <c r="AK303" s="53" t="s">
        <v>113</v>
      </c>
      <c r="AM303" s="37"/>
      <c r="AR303" t="s">
        <v>221</v>
      </c>
      <c r="AT303" s="94">
        <v>8.1999999999999993</v>
      </c>
      <c r="AU303" s="53" t="s">
        <v>113</v>
      </c>
      <c r="AV303" s="36"/>
      <c r="AX303" s="37"/>
      <c r="BC303" t="s">
        <v>221</v>
      </c>
      <c r="BE303" s="94">
        <v>8.1999999999999993</v>
      </c>
      <c r="BF303" s="53" t="s">
        <v>113</v>
      </c>
      <c r="BG303" s="36"/>
      <c r="BI303" s="21"/>
      <c r="BJ303" s="19"/>
      <c r="BK303" s="19"/>
      <c r="BL303" s="19"/>
      <c r="BM303" s="19"/>
      <c r="BN303" s="19" t="s">
        <v>114</v>
      </c>
      <c r="BO303" s="19"/>
      <c r="BP303" s="93">
        <v>8.1999999999999993</v>
      </c>
      <c r="BQ303" s="46" t="s">
        <v>113</v>
      </c>
      <c r="BR303" s="18"/>
    </row>
    <row r="304" spans="1:70" ht="43.2" x14ac:dyDescent="0.3">
      <c r="B304">
        <v>514</v>
      </c>
      <c r="C304" s="87" t="s">
        <v>112</v>
      </c>
      <c r="D304" s="71" t="s">
        <v>111</v>
      </c>
      <c r="E304" t="s">
        <v>3</v>
      </c>
      <c r="F304" s="83">
        <f>N337</f>
        <v>2944.565094629902</v>
      </c>
      <c r="G304" s="53">
        <v>0</v>
      </c>
      <c r="H304" s="92">
        <f t="shared" si="0"/>
        <v>2944.565094629902</v>
      </c>
      <c r="I304" s="91" t="s">
        <v>58</v>
      </c>
      <c r="J304" s="90" t="s">
        <v>110</v>
      </c>
      <c r="K304" s="91"/>
      <c r="L304" s="91" t="s">
        <v>58</v>
      </c>
      <c r="M304" s="90" t="s">
        <v>109</v>
      </c>
      <c r="N304" s="91"/>
      <c r="O304" s="91" t="s">
        <v>58</v>
      </c>
      <c r="P304" s="90"/>
      <c r="Q304" s="91"/>
      <c r="R304" s="89"/>
      <c r="S304" s="91" t="s">
        <v>58</v>
      </c>
      <c r="T304" s="90"/>
      <c r="U304" s="91"/>
      <c r="V304" s="91" t="s">
        <v>58</v>
      </c>
      <c r="W304" s="90"/>
      <c r="X304" s="89"/>
      <c r="Y304" s="91" t="s">
        <v>58</v>
      </c>
      <c r="Z304" s="90"/>
      <c r="AA304" s="89"/>
      <c r="AB304" s="88"/>
      <c r="AD304" s="37"/>
      <c r="AI304" s="79"/>
      <c r="AK304" s="36"/>
      <c r="AM304" s="37"/>
      <c r="AQ304" s="53"/>
      <c r="AR304" s="53"/>
      <c r="AS304" s="53"/>
      <c r="AV304" s="36"/>
      <c r="AX304" s="37"/>
      <c r="BB304" s="53"/>
      <c r="BC304" s="53"/>
      <c r="BD304" s="53"/>
      <c r="BG304" s="36"/>
      <c r="BI304" s="21"/>
      <c r="BJ304" s="19"/>
      <c r="BK304" s="19"/>
      <c r="BL304" s="19"/>
      <c r="BM304" s="46"/>
      <c r="BN304" s="46"/>
      <c r="BO304" s="46"/>
      <c r="BP304" s="19"/>
      <c r="BQ304" s="19"/>
      <c r="BR304" s="18"/>
    </row>
    <row r="305" spans="2:70" ht="43.2" x14ac:dyDescent="0.3">
      <c r="B305">
        <v>514</v>
      </c>
      <c r="C305" s="87" t="s">
        <v>108</v>
      </c>
      <c r="D305" s="25" t="s">
        <v>107</v>
      </c>
      <c r="E305" t="s">
        <v>106</v>
      </c>
      <c r="F305" s="53">
        <f>ROUNDUP(K307*K309/60,0)</f>
        <v>2</v>
      </c>
      <c r="G305" s="53">
        <v>0</v>
      </c>
      <c r="H305" s="86">
        <f t="shared" si="0"/>
        <v>2</v>
      </c>
      <c r="I305" s="9" t="s">
        <v>38</v>
      </c>
      <c r="J305" s="9">
        <f>J303*J301</f>
        <v>143.33333333333334</v>
      </c>
      <c r="K305" s="9" t="s">
        <v>37</v>
      </c>
      <c r="L305" s="9" t="s">
        <v>38</v>
      </c>
      <c r="M305" s="9">
        <f>M303*J301</f>
        <v>0</v>
      </c>
      <c r="N305" s="9" t="s">
        <v>37</v>
      </c>
      <c r="O305" s="9" t="s">
        <v>38</v>
      </c>
      <c r="P305" s="9">
        <f>P303*J301</f>
        <v>0</v>
      </c>
      <c r="Q305" s="9" t="s">
        <v>37</v>
      </c>
      <c r="R305" s="9" t="s">
        <v>37</v>
      </c>
      <c r="S305" s="9" t="s">
        <v>38</v>
      </c>
      <c r="T305" s="9">
        <f>T303*J301</f>
        <v>0</v>
      </c>
      <c r="U305" s="9" t="s">
        <v>37</v>
      </c>
      <c r="V305" s="9" t="s">
        <v>38</v>
      </c>
      <c r="W305" s="9">
        <f>W303*S301</f>
        <v>0</v>
      </c>
      <c r="X305" s="9" t="s">
        <v>37</v>
      </c>
      <c r="Y305" s="9" t="s">
        <v>38</v>
      </c>
      <c r="Z305" s="9">
        <f>Z303*S301</f>
        <v>0</v>
      </c>
      <c r="AA305" s="9" t="s">
        <v>37</v>
      </c>
      <c r="AD305" s="37"/>
      <c r="AE305" t="s">
        <v>68</v>
      </c>
      <c r="AF305" s="85">
        <v>9.3000000000000007</v>
      </c>
      <c r="AG305" s="59" t="s">
        <v>39</v>
      </c>
      <c r="AH305" s="59"/>
      <c r="AK305" s="36"/>
      <c r="AM305" s="186" t="s">
        <v>105</v>
      </c>
      <c r="AN305" s="187"/>
      <c r="AO305" s="187"/>
      <c r="AP305" s="187"/>
      <c r="AQ305" s="187"/>
      <c r="AR305" s="187"/>
      <c r="AS305" s="187"/>
      <c r="AV305" s="36"/>
      <c r="AX305" s="186" t="s">
        <v>104</v>
      </c>
      <c r="AY305" s="187"/>
      <c r="AZ305" s="187"/>
      <c r="BA305" s="187"/>
      <c r="BB305" s="187"/>
      <c r="BC305" s="187"/>
      <c r="BD305" s="187"/>
      <c r="BG305" s="36"/>
      <c r="BI305" s="190" t="s">
        <v>103</v>
      </c>
      <c r="BJ305" s="191"/>
      <c r="BK305" s="191"/>
      <c r="BL305" s="191"/>
      <c r="BM305" s="191"/>
      <c r="BN305" s="191"/>
      <c r="BO305" s="191"/>
      <c r="BP305" s="19"/>
      <c r="BQ305" s="19"/>
      <c r="BR305" s="18"/>
    </row>
    <row r="306" spans="2:70" ht="29.4" x14ac:dyDescent="0.35">
      <c r="B306">
        <v>514</v>
      </c>
      <c r="C306" s="84">
        <v>10000</v>
      </c>
      <c r="D306" s="25" t="s">
        <v>102</v>
      </c>
      <c r="E306" t="s">
        <v>0</v>
      </c>
      <c r="F306" s="83">
        <f>ROUNDUP(MAX(F301/2400,(K307*K309/300)),0)</f>
        <v>2</v>
      </c>
      <c r="G306" s="82">
        <f>ROUNDUP(G301/2400,0)</f>
        <v>0</v>
      </c>
      <c r="H306" s="81">
        <f t="shared" si="0"/>
        <v>2</v>
      </c>
      <c r="I306" s="9" t="s">
        <v>54</v>
      </c>
      <c r="J306" s="33">
        <f>J305*1.1</f>
        <v>157.66666666666669</v>
      </c>
      <c r="K306" s="9" t="s">
        <v>37</v>
      </c>
      <c r="L306" s="9" t="s">
        <v>54</v>
      </c>
      <c r="M306" s="33">
        <f>M305*1.1</f>
        <v>0</v>
      </c>
      <c r="N306" s="9" t="s">
        <v>37</v>
      </c>
      <c r="O306" s="9" t="s">
        <v>54</v>
      </c>
      <c r="P306" s="33">
        <f>P305*1.1</f>
        <v>0</v>
      </c>
      <c r="Q306" s="9" t="s">
        <v>37</v>
      </c>
      <c r="R306" s="9" t="s">
        <v>37</v>
      </c>
      <c r="S306" s="9" t="s">
        <v>54</v>
      </c>
      <c r="T306" s="33">
        <f>T305*1.1</f>
        <v>0</v>
      </c>
      <c r="U306" s="9" t="s">
        <v>37</v>
      </c>
      <c r="V306" s="9" t="s">
        <v>54</v>
      </c>
      <c r="W306" s="33">
        <f>W305*1.1</f>
        <v>0</v>
      </c>
      <c r="X306" s="9" t="s">
        <v>37</v>
      </c>
      <c r="Y306" s="9" t="s">
        <v>54</v>
      </c>
      <c r="Z306" s="33">
        <f>Z305*1.1</f>
        <v>0</v>
      </c>
      <c r="AA306" s="9" t="s">
        <v>37</v>
      </c>
      <c r="AD306" s="37" t="s">
        <v>224</v>
      </c>
      <c r="AE306" s="53" t="s">
        <v>66</v>
      </c>
      <c r="AF306" s="80">
        <v>60</v>
      </c>
      <c r="AG306" t="s">
        <v>64</v>
      </c>
      <c r="AI306" s="79" t="s">
        <v>65</v>
      </c>
      <c r="AJ306" s="80">
        <v>1</v>
      </c>
      <c r="AK306" s="36" t="s">
        <v>64</v>
      </c>
      <c r="AM306" s="54"/>
      <c r="AN306" s="53"/>
      <c r="AO306" s="53" t="s">
        <v>69</v>
      </c>
      <c r="AP306" s="53" t="s">
        <v>101</v>
      </c>
      <c r="AQ306" s="53" t="s">
        <v>100</v>
      </c>
      <c r="AR306" s="53" t="s">
        <v>255</v>
      </c>
      <c r="AS306" s="53"/>
      <c r="AT306" s="79" t="s">
        <v>65</v>
      </c>
      <c r="AU306" s="80">
        <v>1</v>
      </c>
      <c r="AV306" s="36" t="s">
        <v>64</v>
      </c>
      <c r="AX306" s="54"/>
      <c r="AY306" s="53"/>
      <c r="AZ306" s="53" t="s">
        <v>69</v>
      </c>
      <c r="BA306" s="53" t="s">
        <v>101</v>
      </c>
      <c r="BB306" s="53" t="s">
        <v>100</v>
      </c>
      <c r="BC306" s="53"/>
      <c r="BD306" s="53"/>
      <c r="BE306" s="79" t="s">
        <v>65</v>
      </c>
      <c r="BF306">
        <v>1</v>
      </c>
      <c r="BG306" s="36" t="s">
        <v>64</v>
      </c>
      <c r="BI306" s="52"/>
      <c r="BJ306" s="46"/>
      <c r="BK306" s="46" t="s">
        <v>69</v>
      </c>
      <c r="BL306" s="46" t="s">
        <v>101</v>
      </c>
      <c r="BM306" s="46" t="s">
        <v>100</v>
      </c>
      <c r="BN306" s="46"/>
      <c r="BO306" s="46"/>
      <c r="BP306" s="45" t="s">
        <v>65</v>
      </c>
      <c r="BQ306" s="19">
        <v>2</v>
      </c>
      <c r="BR306" s="18" t="s">
        <v>64</v>
      </c>
    </row>
    <row r="307" spans="2:70" x14ac:dyDescent="0.3">
      <c r="I307" s="32" t="s">
        <v>99</v>
      </c>
      <c r="J307" s="12"/>
      <c r="K307" s="9">
        <f>1*J303+1*M303+1*P303+1*T303+1*W303+1*Z303</f>
        <v>10</v>
      </c>
      <c r="L307" s="9" t="s">
        <v>39</v>
      </c>
      <c r="AD307" s="37"/>
      <c r="AF307">
        <f>AF306/12</f>
        <v>5</v>
      </c>
      <c r="AG307" t="s">
        <v>39</v>
      </c>
      <c r="AI307" s="79"/>
      <c r="AK307" s="36"/>
      <c r="AM307" s="54"/>
      <c r="AN307" s="53" t="s">
        <v>68</v>
      </c>
      <c r="AO307" s="77">
        <v>18.23</v>
      </c>
      <c r="AP307" s="53">
        <f>AO307/3</f>
        <v>6.0766666666666671</v>
      </c>
      <c r="AQ307" s="53">
        <f>AO307/6</f>
        <v>3.0383333333333336</v>
      </c>
      <c r="AR307" s="53">
        <f>AO307/4</f>
        <v>4.5575000000000001</v>
      </c>
      <c r="AS307" s="53"/>
      <c r="AT307" t="s">
        <v>64</v>
      </c>
      <c r="AV307" s="36"/>
      <c r="AX307" s="54"/>
      <c r="AY307" s="53" t="s">
        <v>68</v>
      </c>
      <c r="AZ307" s="53">
        <v>15.25</v>
      </c>
      <c r="BA307" s="53">
        <f>AZ307/3</f>
        <v>5.083333333333333</v>
      </c>
      <c r="BB307" s="53">
        <f>AZ307/6</f>
        <v>2.5416666666666665</v>
      </c>
      <c r="BC307" s="53"/>
      <c r="BD307" s="53"/>
      <c r="BE307" t="s">
        <v>64</v>
      </c>
      <c r="BG307" s="36"/>
      <c r="BI307" s="52"/>
      <c r="BJ307" s="46" t="s">
        <v>68</v>
      </c>
      <c r="BK307" s="46">
        <v>0</v>
      </c>
      <c r="BL307" s="46">
        <f>BK307/3</f>
        <v>0</v>
      </c>
      <c r="BM307" s="46">
        <f>BK307/6</f>
        <v>0</v>
      </c>
      <c r="BN307" s="46"/>
      <c r="BO307" s="46"/>
      <c r="BP307" s="19" t="s">
        <v>64</v>
      </c>
      <c r="BQ307" s="19"/>
      <c r="BR307" s="18"/>
    </row>
    <row r="308" spans="2:70" x14ac:dyDescent="0.3">
      <c r="I308" s="32" t="s">
        <v>98</v>
      </c>
      <c r="J308" s="11"/>
      <c r="K308" s="78">
        <f>J306+M306+P306+T306+W306+Z306</f>
        <v>157.66666666666669</v>
      </c>
      <c r="L308" s="9" t="s">
        <v>37</v>
      </c>
      <c r="AD308" s="37"/>
      <c r="AK308" s="36"/>
      <c r="AM308" s="54"/>
      <c r="AN308" s="53" t="s">
        <v>97</v>
      </c>
      <c r="AO308" s="77">
        <v>60</v>
      </c>
      <c r="AP308" s="73" t="s">
        <v>64</v>
      </c>
      <c r="AQ308" s="53"/>
      <c r="AR308" s="53"/>
      <c r="AS308" s="53"/>
      <c r="AT308" t="s">
        <v>64</v>
      </c>
      <c r="AV308" s="36"/>
      <c r="AX308" s="54"/>
      <c r="AY308" s="53" t="s">
        <v>97</v>
      </c>
      <c r="AZ308" s="53">
        <v>60</v>
      </c>
      <c r="BA308" s="73" t="s">
        <v>64</v>
      </c>
      <c r="BB308" s="53"/>
      <c r="BC308" s="53"/>
      <c r="BD308" s="53"/>
      <c r="BE308" t="s">
        <v>64</v>
      </c>
      <c r="BG308" s="36"/>
      <c r="BI308" s="52"/>
      <c r="BJ308" s="46" t="s">
        <v>97</v>
      </c>
      <c r="BK308" s="46">
        <v>0</v>
      </c>
      <c r="BL308" s="72" t="s">
        <v>64</v>
      </c>
      <c r="BM308" s="46"/>
      <c r="BN308" s="46"/>
      <c r="BO308" s="46"/>
      <c r="BP308" s="19" t="s">
        <v>64</v>
      </c>
      <c r="BQ308" s="19"/>
      <c r="BR308" s="18"/>
    </row>
    <row r="309" spans="2:70" x14ac:dyDescent="0.3">
      <c r="I309" s="32" t="s">
        <v>96</v>
      </c>
      <c r="J309" s="11"/>
      <c r="K309" s="76">
        <v>7</v>
      </c>
      <c r="L309" s="9"/>
      <c r="AD309" s="37"/>
      <c r="AK309" s="36"/>
      <c r="AM309" s="54"/>
      <c r="AN309" s="53"/>
      <c r="AO309" s="53">
        <f>AO308/12</f>
        <v>5</v>
      </c>
      <c r="AP309" s="73" t="s">
        <v>39</v>
      </c>
      <c r="AQ309" s="65">
        <f>AN313^2+AN316^2</f>
        <v>42.554806694444451</v>
      </c>
      <c r="AR309" s="53"/>
      <c r="AS309" s="65">
        <f>AN313^2+AO316^2</f>
        <v>26.97670200694445</v>
      </c>
      <c r="AT309" t="s">
        <v>64</v>
      </c>
      <c r="AV309" s="36"/>
      <c r="AX309" s="54"/>
      <c r="AY309" s="53"/>
      <c r="AZ309" s="53">
        <f>AZ308/12</f>
        <v>5</v>
      </c>
      <c r="BA309" s="73" t="s">
        <v>39</v>
      </c>
      <c r="BB309" s="65">
        <f>AY313^2+AY316^2</f>
        <v>47.624278222222223</v>
      </c>
      <c r="BC309" s="53"/>
      <c r="BD309" s="65">
        <f>AY313^2+AZ316^2</f>
        <v>28.244069888888891</v>
      </c>
      <c r="BE309" t="s">
        <v>64</v>
      </c>
      <c r="BG309" s="36"/>
      <c r="BI309" s="52"/>
      <c r="BJ309" s="46"/>
      <c r="BK309" s="46">
        <f>BK308/12</f>
        <v>0</v>
      </c>
      <c r="BL309" s="72" t="s">
        <v>39</v>
      </c>
      <c r="BM309" s="46">
        <f>BJ313^2+BJ316^2</f>
        <v>0</v>
      </c>
      <c r="BN309" s="46"/>
      <c r="BO309" s="64">
        <f>BJ313^2+BK316^2</f>
        <v>0</v>
      </c>
      <c r="BP309" s="19" t="s">
        <v>64</v>
      </c>
      <c r="BQ309" s="19"/>
      <c r="BR309" s="18"/>
    </row>
    <row r="310" spans="2:70" ht="43.2" x14ac:dyDescent="0.3">
      <c r="I310" s="74" t="s">
        <v>95</v>
      </c>
      <c r="J310" s="11"/>
      <c r="K310" s="75">
        <f>K308*K309</f>
        <v>1103.6666666666667</v>
      </c>
      <c r="L310" s="9" t="s">
        <v>37</v>
      </c>
      <c r="N310" s="74" t="s">
        <v>251</v>
      </c>
      <c r="O310" s="30">
        <f>28*(18*(24*4))/144</f>
        <v>336</v>
      </c>
      <c r="P310" s="11" t="s">
        <v>44</v>
      </c>
      <c r="AD310" s="37"/>
      <c r="AG310">
        <f>SQRT((AG315)^2+(AE311)^2)</f>
        <v>10.405210233553403</v>
      </c>
      <c r="AH310" t="s">
        <v>6</v>
      </c>
      <c r="AK310" s="36"/>
      <c r="AM310" s="54"/>
      <c r="AN310" s="53"/>
      <c r="AO310" s="53"/>
      <c r="AP310" s="73"/>
      <c r="AQ310" s="53"/>
      <c r="AR310" s="53"/>
      <c r="AS310" s="53"/>
      <c r="AV310" s="36"/>
      <c r="AX310" s="54"/>
      <c r="AY310" s="53"/>
      <c r="AZ310" s="53"/>
      <c r="BA310" s="73"/>
      <c r="BB310" s="53"/>
      <c r="BC310" s="53"/>
      <c r="BD310" s="53"/>
      <c r="BG310" s="36"/>
      <c r="BI310" s="52"/>
      <c r="BJ310" s="46"/>
      <c r="BK310" s="46"/>
      <c r="BL310" s="72"/>
      <c r="BM310" s="46"/>
      <c r="BN310" s="46"/>
      <c r="BO310" s="46"/>
      <c r="BP310" s="19"/>
      <c r="BQ310" s="19"/>
      <c r="BR310" s="18"/>
    </row>
    <row r="311" spans="2:70" x14ac:dyDescent="0.3">
      <c r="I311" s="71"/>
      <c r="AD311" s="37"/>
      <c r="AE311">
        <f>AF307-2*(AJ306/12+0.0833)</f>
        <v>4.6667333333333332</v>
      </c>
      <c r="AF311" t="s">
        <v>6</v>
      </c>
      <c r="AK311" s="36"/>
      <c r="AM311" s="54"/>
      <c r="AN311" s="53"/>
      <c r="AO311" s="53"/>
      <c r="AP311" s="53"/>
      <c r="AQ311" s="53"/>
      <c r="AR311" s="53"/>
      <c r="AS311" s="53"/>
      <c r="AU311">
        <v>1.1659999999999999</v>
      </c>
      <c r="AV311" s="36" t="s">
        <v>48</v>
      </c>
      <c r="AX311" s="54"/>
      <c r="AY311" s="53"/>
      <c r="AZ311" s="53"/>
      <c r="BA311" s="53"/>
      <c r="BB311" s="53"/>
      <c r="BC311" s="53"/>
      <c r="BD311" s="53"/>
      <c r="BF311">
        <v>1.1659999999999999</v>
      </c>
      <c r="BG311" s="36" t="s">
        <v>48</v>
      </c>
      <c r="BI311" s="52"/>
      <c r="BJ311" s="46"/>
      <c r="BK311" s="46"/>
      <c r="BL311" s="46"/>
      <c r="BM311" s="46"/>
      <c r="BN311" s="46"/>
      <c r="BO311" s="46"/>
      <c r="BP311" s="19"/>
      <c r="BQ311" s="19">
        <v>1.1659999999999999</v>
      </c>
      <c r="BR311" s="18" t="s">
        <v>48</v>
      </c>
    </row>
    <row r="312" spans="2:70" x14ac:dyDescent="0.3">
      <c r="I312" s="43" t="s">
        <v>94</v>
      </c>
      <c r="J312" s="42"/>
      <c r="K312" s="42">
        <f>(6+6)*60/144</f>
        <v>5</v>
      </c>
      <c r="L312" s="41" t="s">
        <v>44</v>
      </c>
      <c r="M312" s="43" t="s">
        <v>93</v>
      </c>
      <c r="N312" s="42"/>
      <c r="O312" s="42"/>
      <c r="P312" s="41"/>
      <c r="Q312" s="43" t="s">
        <v>92</v>
      </c>
      <c r="R312" s="42"/>
      <c r="S312" s="42"/>
      <c r="T312" s="41"/>
      <c r="AD312" s="37"/>
      <c r="AE312">
        <f>AE311*12</f>
        <v>56.000799999999998</v>
      </c>
      <c r="AK312" s="36"/>
      <c r="AM312" s="54"/>
      <c r="AN312" s="53"/>
      <c r="AO312" s="65">
        <f>SQRT(AQ309)</f>
        <v>6.5234045324848937</v>
      </c>
      <c r="AP312" s="65"/>
      <c r="AQ312" s="53"/>
      <c r="AR312" s="65">
        <f>AM313</f>
        <v>6.5234045324848937</v>
      </c>
      <c r="AS312" s="53"/>
      <c r="AU312" s="8">
        <f>0.33*AU311*2</f>
        <v>0.76956000000000002</v>
      </c>
      <c r="AV312" s="36" t="s">
        <v>44</v>
      </c>
      <c r="AX312" s="54"/>
      <c r="AY312" s="53"/>
      <c r="AZ312" s="65">
        <f>SQRT(BB309)</f>
        <v>6.9010345762227727</v>
      </c>
      <c r="BA312" s="65"/>
      <c r="BB312" s="53"/>
      <c r="BC312" s="65">
        <f>AX313</f>
        <v>6.9010345762227727</v>
      </c>
      <c r="BD312" s="53"/>
      <c r="BF312" s="8">
        <f>0.33*BF311*2</f>
        <v>0.76956000000000002</v>
      </c>
      <c r="BG312" s="36" t="s">
        <v>44</v>
      </c>
      <c r="BI312" s="52"/>
      <c r="BJ312" s="46"/>
      <c r="BK312" s="64">
        <f>SQRT(BO309)</f>
        <v>0</v>
      </c>
      <c r="BL312" s="64"/>
      <c r="BM312" s="46"/>
      <c r="BN312" s="64">
        <f>BI313</f>
        <v>0</v>
      </c>
      <c r="BO312" s="46"/>
      <c r="BP312" s="19"/>
      <c r="BQ312" s="22">
        <f>0.33*BQ311*2</f>
        <v>0.76956000000000002</v>
      </c>
      <c r="BR312" s="18" t="s">
        <v>44</v>
      </c>
    </row>
    <row r="313" spans="2:70" x14ac:dyDescent="0.3">
      <c r="H313">
        <v>1050</v>
      </c>
      <c r="I313" s="37" t="s">
        <v>87</v>
      </c>
      <c r="K313">
        <v>70</v>
      </c>
      <c r="L313" s="36" t="s">
        <v>85</v>
      </c>
      <c r="M313" s="37" t="s">
        <v>91</v>
      </c>
      <c r="O313">
        <f>((5+5)*(56+90)/2)/144</f>
        <v>5.0694444444444446</v>
      </c>
      <c r="P313" s="36" t="s">
        <v>44</v>
      </c>
      <c r="Q313" s="37" t="s">
        <v>91</v>
      </c>
      <c r="S313">
        <f>((5+5)*(55)/144)</f>
        <v>3.8194444444444446</v>
      </c>
      <c r="T313" s="36" t="s">
        <v>44</v>
      </c>
      <c r="AD313" s="37"/>
      <c r="AK313" s="36"/>
      <c r="AM313" s="70">
        <f>SQRT(AQ309)</f>
        <v>6.5234045324848937</v>
      </c>
      <c r="AN313" s="69">
        <f>AO309-2*(AU306/12+0.083)</f>
        <v>4.6673333333333336</v>
      </c>
      <c r="AO313" s="53"/>
      <c r="AP313" s="53"/>
      <c r="AQ313" s="53"/>
      <c r="AR313" s="53"/>
      <c r="AS313" s="53"/>
      <c r="AU313">
        <v>7</v>
      </c>
      <c r="AV313" s="36" t="s">
        <v>48</v>
      </c>
      <c r="AX313" s="70">
        <f>SQRT(BB309)</f>
        <v>6.9010345762227727</v>
      </c>
      <c r="AY313" s="69">
        <f>AZ309-2*(BF306/12+0.083)</f>
        <v>4.6673333333333336</v>
      </c>
      <c r="AZ313" s="53"/>
      <c r="BA313" s="53"/>
      <c r="BB313" s="53"/>
      <c r="BC313" s="53"/>
      <c r="BD313" s="53"/>
      <c r="BF313">
        <v>7</v>
      </c>
      <c r="BG313" s="36" t="s">
        <v>48</v>
      </c>
      <c r="BI313" s="68">
        <f>SQRT(BM309)</f>
        <v>0</v>
      </c>
      <c r="BJ313" s="67">
        <f>BK309</f>
        <v>0</v>
      </c>
      <c r="BK313" s="46"/>
      <c r="BL313" s="46"/>
      <c r="BM313" s="46"/>
      <c r="BN313" s="46"/>
      <c r="BO313" s="46"/>
      <c r="BP313" s="19"/>
      <c r="BQ313" s="19">
        <v>7</v>
      </c>
      <c r="BR313" s="18" t="s">
        <v>48</v>
      </c>
    </row>
    <row r="314" spans="2:70" x14ac:dyDescent="0.3">
      <c r="I314" s="37" t="s">
        <v>80</v>
      </c>
      <c r="K314" s="3">
        <f>K312*K313</f>
        <v>350</v>
      </c>
      <c r="L314" s="36" t="s">
        <v>44</v>
      </c>
      <c r="M314" s="37" t="s">
        <v>87</v>
      </c>
      <c r="O314">
        <v>0</v>
      </c>
      <c r="P314" s="36" t="s">
        <v>85</v>
      </c>
      <c r="Q314" s="37" t="s">
        <v>87</v>
      </c>
      <c r="S314">
        <v>0</v>
      </c>
      <c r="T314" s="36" t="s">
        <v>85</v>
      </c>
      <c r="AD314" s="37"/>
      <c r="AK314" s="36"/>
      <c r="AM314" s="54"/>
      <c r="AN314" s="53"/>
      <c r="AO314" s="53"/>
      <c r="AP314" s="53"/>
      <c r="AQ314" s="53"/>
      <c r="AR314" s="53"/>
      <c r="AS314" s="53"/>
      <c r="AU314" s="8">
        <f>0.33*AU313*2</f>
        <v>4.62</v>
      </c>
      <c r="AV314" s="36" t="s">
        <v>44</v>
      </c>
      <c r="AX314" s="54"/>
      <c r="AY314" s="53"/>
      <c r="AZ314" s="53"/>
      <c r="BA314" s="53"/>
      <c r="BB314" s="53"/>
      <c r="BC314" s="53"/>
      <c r="BD314" s="53"/>
      <c r="BF314" s="8">
        <f>0.33*BF313*2</f>
        <v>4.62</v>
      </c>
      <c r="BG314" s="36" t="s">
        <v>44</v>
      </c>
      <c r="BI314" s="52"/>
      <c r="BJ314" s="46"/>
      <c r="BK314" s="46"/>
      <c r="BL314" s="46"/>
      <c r="BM314" s="46"/>
      <c r="BN314" s="46"/>
      <c r="BO314" s="46"/>
      <c r="BP314" s="19"/>
      <c r="BQ314" s="22">
        <f>0.33*BQ313*2</f>
        <v>4.62</v>
      </c>
      <c r="BR314" s="18" t="s">
        <v>44</v>
      </c>
    </row>
    <row r="315" spans="2:70" x14ac:dyDescent="0.3">
      <c r="I315" s="35" t="s">
        <v>78</v>
      </c>
      <c r="J315" s="6"/>
      <c r="K315" s="6"/>
      <c r="L315" s="34"/>
      <c r="M315" s="35" t="s">
        <v>80</v>
      </c>
      <c r="N315" s="6"/>
      <c r="O315" s="66">
        <f>O313*O314</f>
        <v>0</v>
      </c>
      <c r="P315" s="34" t="s">
        <v>44</v>
      </c>
      <c r="Q315" s="35" t="s">
        <v>80</v>
      </c>
      <c r="R315" s="6"/>
      <c r="S315" s="66">
        <f>S313*S314</f>
        <v>0</v>
      </c>
      <c r="T315" s="34" t="s">
        <v>44</v>
      </c>
      <c r="AD315" s="37"/>
      <c r="AG315" s="59">
        <f>AF305</f>
        <v>9.3000000000000007</v>
      </c>
      <c r="AK315" s="36"/>
      <c r="AM315" s="54"/>
      <c r="AN315" s="53"/>
      <c r="AO315" s="53"/>
      <c r="AP315" s="53"/>
      <c r="AQ315" s="53"/>
      <c r="AR315" s="53"/>
      <c r="AS315" s="53"/>
      <c r="AV315" s="36"/>
      <c r="AX315" s="54"/>
      <c r="AY315" s="53"/>
      <c r="AZ315" s="53"/>
      <c r="BA315" s="53"/>
      <c r="BB315" s="53"/>
      <c r="BC315" s="53"/>
      <c r="BD315" s="53"/>
      <c r="BG315" s="36"/>
      <c r="BI315" s="52"/>
      <c r="BJ315" s="46"/>
      <c r="BK315" s="46"/>
      <c r="BL315" s="46"/>
      <c r="BM315" s="46"/>
      <c r="BN315" s="46"/>
      <c r="BO315" s="46"/>
      <c r="BP315" s="19"/>
      <c r="BQ315" s="19"/>
      <c r="BR315" s="18"/>
    </row>
    <row r="316" spans="2:70" x14ac:dyDescent="0.3">
      <c r="AD316" s="37"/>
      <c r="AK316" s="36"/>
      <c r="AM316" s="54"/>
      <c r="AN316" s="65">
        <f>AO307/4</f>
        <v>4.5575000000000001</v>
      </c>
      <c r="AO316" s="65">
        <f>AN316/2</f>
        <v>2.2787500000000001</v>
      </c>
      <c r="AP316" s="53"/>
      <c r="AQ316" s="53"/>
      <c r="AR316" s="53"/>
      <c r="AS316" s="53"/>
      <c r="AV316" s="36"/>
      <c r="AX316" s="54"/>
      <c r="AY316" s="65">
        <f>AZ307/3</f>
        <v>5.083333333333333</v>
      </c>
      <c r="AZ316" s="65">
        <f>AY316/2</f>
        <v>2.5416666666666665</v>
      </c>
      <c r="BA316" s="53"/>
      <c r="BB316" s="53"/>
      <c r="BC316" s="53"/>
      <c r="BD316" s="53"/>
      <c r="BG316" s="36"/>
      <c r="BI316" s="52"/>
      <c r="BJ316" s="64">
        <f>BK307/3</f>
        <v>0</v>
      </c>
      <c r="BK316" s="64">
        <f>BJ316/2</f>
        <v>0</v>
      </c>
      <c r="BL316" s="46"/>
      <c r="BM316" s="46"/>
      <c r="BN316" s="46"/>
      <c r="BO316" s="46"/>
      <c r="BP316" s="19"/>
      <c r="BQ316" s="19"/>
      <c r="BR316" s="18"/>
    </row>
    <row r="317" spans="2:70" x14ac:dyDescent="0.3">
      <c r="I317" s="43" t="s">
        <v>90</v>
      </c>
      <c r="J317" s="42"/>
      <c r="K317" s="63">
        <f>(8+8)*60/144</f>
        <v>6.666666666666667</v>
      </c>
      <c r="L317" s="41" t="s">
        <v>44</v>
      </c>
      <c r="M317" s="43" t="s">
        <v>89</v>
      </c>
      <c r="N317" s="42"/>
      <c r="O317" s="42">
        <f>(8+8)*60/144</f>
        <v>6.666666666666667</v>
      </c>
      <c r="P317" s="41" t="s">
        <v>44</v>
      </c>
      <c r="Q317" s="43" t="s">
        <v>88</v>
      </c>
      <c r="R317" s="42"/>
      <c r="S317" s="42">
        <f>PI()*(0.67)*8</f>
        <v>16.838936623241292</v>
      </c>
      <c r="T317" s="41" t="s">
        <v>44</v>
      </c>
      <c r="AD317" s="37" t="s">
        <v>49</v>
      </c>
      <c r="AG317" s="59">
        <f>(1*AG315)+(2*AG310)</f>
        <v>30.110420467106806</v>
      </c>
      <c r="AH317" t="s">
        <v>48</v>
      </c>
      <c r="AK317" s="36"/>
      <c r="AM317" s="51"/>
      <c r="AN317" s="50"/>
      <c r="AO317" s="50"/>
      <c r="AP317" s="50"/>
      <c r="AQ317" s="50"/>
      <c r="AR317" s="50"/>
      <c r="AS317" s="50"/>
      <c r="AT317" s="6"/>
      <c r="AU317" s="6"/>
      <c r="AV317" s="34"/>
      <c r="AX317" s="51"/>
      <c r="AY317" s="50"/>
      <c r="AZ317" s="50"/>
      <c r="BA317" s="50"/>
      <c r="BB317" s="50"/>
      <c r="BC317" s="50"/>
      <c r="BD317" s="50"/>
      <c r="BE317" s="6"/>
      <c r="BF317" s="6"/>
      <c r="BG317" s="34"/>
      <c r="BI317" s="49"/>
      <c r="BJ317" s="48"/>
      <c r="BK317" s="48"/>
      <c r="BL317" s="48"/>
      <c r="BM317" s="48"/>
      <c r="BN317" s="48"/>
      <c r="BO317" s="48"/>
      <c r="BP317" s="16"/>
      <c r="BQ317" s="16"/>
      <c r="BR317" s="15"/>
    </row>
    <row r="318" spans="2:70" x14ac:dyDescent="0.3">
      <c r="I318" s="37" t="s">
        <v>87</v>
      </c>
      <c r="K318">
        <v>14</v>
      </c>
      <c r="L318" s="36" t="s">
        <v>85</v>
      </c>
      <c r="M318" s="37" t="s">
        <v>87</v>
      </c>
      <c r="O318">
        <v>0</v>
      </c>
      <c r="P318" s="36" t="s">
        <v>85</v>
      </c>
      <c r="Q318" s="37" t="s">
        <v>86</v>
      </c>
      <c r="S318">
        <v>10</v>
      </c>
      <c r="T318" s="36" t="s">
        <v>85</v>
      </c>
      <c r="AD318" s="37"/>
      <c r="AK318" s="36"/>
      <c r="AM318" s="58"/>
      <c r="AN318" s="57"/>
      <c r="AO318" s="57" t="s">
        <v>82</v>
      </c>
      <c r="AP318" s="62" t="s">
        <v>256</v>
      </c>
      <c r="AQ318" s="57"/>
      <c r="AR318" s="57"/>
      <c r="AS318" s="57"/>
      <c r="AT318" s="42"/>
      <c r="AU318" s="42"/>
      <c r="AV318" s="41"/>
      <c r="AX318" s="58"/>
      <c r="AY318" s="57"/>
      <c r="AZ318" s="57" t="s">
        <v>82</v>
      </c>
      <c r="BA318" s="62" t="s">
        <v>257</v>
      </c>
      <c r="BB318" s="57"/>
      <c r="BC318" s="57"/>
      <c r="BD318" s="57"/>
      <c r="BE318" s="42"/>
      <c r="BF318" s="42"/>
      <c r="BG318" s="41"/>
      <c r="BI318" s="56"/>
      <c r="BJ318" s="55"/>
      <c r="BK318" s="55" t="s">
        <v>82</v>
      </c>
      <c r="BL318" s="61" t="s">
        <v>81</v>
      </c>
      <c r="BM318" s="55"/>
      <c r="BN318" s="55"/>
      <c r="BO318" s="55"/>
      <c r="BP318" s="39"/>
      <c r="BQ318" s="39"/>
      <c r="BR318" s="38"/>
    </row>
    <row r="319" spans="2:70" x14ac:dyDescent="0.3">
      <c r="I319" s="37" t="s">
        <v>80</v>
      </c>
      <c r="K319" s="3">
        <f>K317*K318</f>
        <v>93.333333333333343</v>
      </c>
      <c r="L319" s="36" t="s">
        <v>44</v>
      </c>
      <c r="M319" s="37" t="s">
        <v>80</v>
      </c>
      <c r="O319" s="3">
        <f>O317*O318</f>
        <v>0</v>
      </c>
      <c r="P319" s="36" t="s">
        <v>44</v>
      </c>
      <c r="Q319" s="37" t="s">
        <v>80</v>
      </c>
      <c r="S319" s="3">
        <f>S317*S318</f>
        <v>168.38936623241293</v>
      </c>
      <c r="T319" s="36" t="s">
        <v>44</v>
      </c>
      <c r="AD319" s="60" t="s">
        <v>258</v>
      </c>
      <c r="AG319" s="8">
        <f>0.25*4*AG317</f>
        <v>30.110420467106806</v>
      </c>
      <c r="AH319" t="s">
        <v>44</v>
      </c>
      <c r="AK319" s="36"/>
      <c r="AM319" s="51"/>
      <c r="AN319" s="50"/>
      <c r="AO319" s="50"/>
      <c r="AP319" s="50">
        <f>AO307+(8*AM313)</f>
        <v>70.417236259879147</v>
      </c>
      <c r="AQ319" s="50" t="s">
        <v>39</v>
      </c>
      <c r="AR319" s="50"/>
      <c r="AS319" s="50"/>
      <c r="AT319" s="6"/>
      <c r="AU319" s="6"/>
      <c r="AV319" s="34"/>
      <c r="AX319" s="51"/>
      <c r="AY319" s="50"/>
      <c r="AZ319" s="50"/>
      <c r="BA319" s="50">
        <f>AZ307+(6*AX313)</f>
        <v>56.656207457336635</v>
      </c>
      <c r="BB319" s="50" t="s">
        <v>39</v>
      </c>
      <c r="BC319" s="50"/>
      <c r="BD319" s="50"/>
      <c r="BE319" s="6"/>
      <c r="BF319" s="6"/>
      <c r="BG319" s="34"/>
      <c r="BI319" s="49"/>
      <c r="BJ319" s="48"/>
      <c r="BK319" s="48"/>
      <c r="BL319" s="48">
        <f>BK307+(2*BI313)+(2*BK312)+BJ313</f>
        <v>0</v>
      </c>
      <c r="BM319" s="48" t="s">
        <v>39</v>
      </c>
      <c r="BN319" s="48"/>
      <c r="BO319" s="48"/>
      <c r="BP319" s="16"/>
      <c r="BQ319" s="16"/>
      <c r="BR319" s="15"/>
    </row>
    <row r="320" spans="2:70" x14ac:dyDescent="0.3">
      <c r="I320" s="35" t="s">
        <v>78</v>
      </c>
      <c r="J320" s="6"/>
      <c r="K320" s="6"/>
      <c r="L320" s="34"/>
      <c r="M320" s="35"/>
      <c r="N320" s="6"/>
      <c r="O320" s="6"/>
      <c r="P320" s="34"/>
      <c r="Q320" s="35"/>
      <c r="R320" s="6"/>
      <c r="S320" s="6"/>
      <c r="T320" s="34"/>
      <c r="AD320" s="37" t="s">
        <v>46</v>
      </c>
      <c r="AF320" t="s">
        <v>45</v>
      </c>
      <c r="AG320" s="59">
        <f>AG319*1.1</f>
        <v>33.121462513817491</v>
      </c>
      <c r="AH320" t="s">
        <v>44</v>
      </c>
      <c r="AK320" s="36"/>
      <c r="AM320" s="58"/>
      <c r="AN320" s="57" t="s">
        <v>259</v>
      </c>
      <c r="AO320" s="57"/>
      <c r="AP320" s="57"/>
      <c r="AQ320" s="57"/>
      <c r="AR320" s="57"/>
      <c r="AS320" s="57"/>
      <c r="AT320" s="42"/>
      <c r="AU320" s="42"/>
      <c r="AV320" s="41"/>
      <c r="AX320" s="58"/>
      <c r="AY320" s="57" t="s">
        <v>259</v>
      </c>
      <c r="AZ320" s="57"/>
      <c r="BA320" s="57"/>
      <c r="BB320" s="57"/>
      <c r="BC320" s="57"/>
      <c r="BD320" s="57"/>
      <c r="BE320" s="42"/>
      <c r="BF320" s="42"/>
      <c r="BG320" s="41"/>
      <c r="BI320" s="56"/>
      <c r="BJ320" s="55"/>
      <c r="BK320" s="55"/>
      <c r="BL320" s="55"/>
      <c r="BM320" s="55"/>
      <c r="BN320" s="55"/>
      <c r="BO320" s="55"/>
      <c r="BP320" s="39"/>
      <c r="BQ320" s="39"/>
      <c r="BR320" s="38"/>
    </row>
    <row r="321" spans="9:70" x14ac:dyDescent="0.3">
      <c r="AD321" s="35"/>
      <c r="AE321" s="6"/>
      <c r="AF321" s="6"/>
      <c r="AG321" s="6"/>
      <c r="AH321" s="6"/>
      <c r="AI321" s="6"/>
      <c r="AJ321" s="6"/>
      <c r="AK321" s="34"/>
      <c r="AM321" s="54"/>
      <c r="AN321" s="53" t="s">
        <v>77</v>
      </c>
      <c r="AO321" s="53"/>
      <c r="AP321" s="53">
        <f>AP319*(0.42*4)</f>
        <v>118.30095691659696</v>
      </c>
      <c r="AQ321" s="53" t="s">
        <v>44</v>
      </c>
      <c r="AR321" s="53"/>
      <c r="AS321" s="53"/>
      <c r="AV321" s="36"/>
      <c r="AX321" s="54"/>
      <c r="AY321" s="53" t="s">
        <v>77</v>
      </c>
      <c r="AZ321" s="53"/>
      <c r="BA321" s="53">
        <f>BA319*(0.42*4)</f>
        <v>95.182428528325545</v>
      </c>
      <c r="BB321" s="53" t="s">
        <v>44</v>
      </c>
      <c r="BC321" s="53"/>
      <c r="BD321" s="53"/>
      <c r="BG321" s="36"/>
      <c r="BI321" s="52"/>
      <c r="BJ321" s="46" t="s">
        <v>77</v>
      </c>
      <c r="BK321" s="46"/>
      <c r="BL321" s="46">
        <f>BL319*(0.3333*4)</f>
        <v>0</v>
      </c>
      <c r="BM321" s="46" t="s">
        <v>44</v>
      </c>
      <c r="BN321" s="46"/>
      <c r="BO321" s="46"/>
      <c r="BP321" s="19"/>
      <c r="BQ321" s="19"/>
      <c r="BR321" s="18"/>
    </row>
    <row r="322" spans="9:70" ht="15" customHeight="1" x14ac:dyDescent="0.3">
      <c r="I322" s="9" t="s">
        <v>62</v>
      </c>
      <c r="J322" s="9">
        <v>1</v>
      </c>
      <c r="K322" s="9" t="s">
        <v>39</v>
      </c>
      <c r="L322" s="9" t="s">
        <v>62</v>
      </c>
      <c r="M322" s="9">
        <v>1.68</v>
      </c>
      <c r="N322" s="9" t="s">
        <v>39</v>
      </c>
      <c r="O322" s="9" t="s">
        <v>62</v>
      </c>
      <c r="P322" s="9">
        <v>1.68</v>
      </c>
      <c r="Q322" s="9" t="s">
        <v>39</v>
      </c>
      <c r="R322" s="9" t="s">
        <v>62</v>
      </c>
      <c r="S322" s="9">
        <v>0</v>
      </c>
      <c r="T322" s="9" t="s">
        <v>39</v>
      </c>
      <c r="AM322" s="51"/>
      <c r="AN322" s="50" t="s">
        <v>76</v>
      </c>
      <c r="AO322" s="50"/>
      <c r="AP322" s="50"/>
      <c r="AQ322" s="50"/>
      <c r="AR322" s="50"/>
      <c r="AS322" s="50"/>
      <c r="AT322" s="6"/>
      <c r="AU322" s="6"/>
      <c r="AV322" s="34"/>
      <c r="AX322" s="51"/>
      <c r="AY322" s="50" t="s">
        <v>76</v>
      </c>
      <c r="AZ322" s="50"/>
      <c r="BA322" s="50"/>
      <c r="BB322" s="50"/>
      <c r="BC322" s="50"/>
      <c r="BD322" s="50"/>
      <c r="BE322" s="6"/>
      <c r="BF322" s="6"/>
      <c r="BG322" s="34"/>
      <c r="BI322" s="49"/>
      <c r="BJ322" s="48" t="s">
        <v>76</v>
      </c>
      <c r="BK322" s="48"/>
      <c r="BL322" s="48"/>
      <c r="BM322" s="48"/>
      <c r="BN322" s="48"/>
      <c r="BO322" s="48"/>
      <c r="BP322" s="16"/>
      <c r="BQ322" s="16"/>
      <c r="BR322" s="15"/>
    </row>
    <row r="323" spans="9:70" x14ac:dyDescent="0.3">
      <c r="I323" s="9" t="s">
        <v>40</v>
      </c>
      <c r="J323" s="44">
        <f>AG317</f>
        <v>30.110420467106806</v>
      </c>
      <c r="K323" s="9" t="s">
        <v>39</v>
      </c>
      <c r="L323" s="9" t="s">
        <v>40</v>
      </c>
      <c r="M323" s="9">
        <f>AP319</f>
        <v>70.417236259879147</v>
      </c>
      <c r="N323" s="9" t="s">
        <v>39</v>
      </c>
      <c r="O323" s="9" t="s">
        <v>40</v>
      </c>
      <c r="P323" s="9">
        <f>BA319</f>
        <v>56.656207457336635</v>
      </c>
      <c r="Q323" s="9" t="s">
        <v>39</v>
      </c>
      <c r="R323" s="9" t="s">
        <v>40</v>
      </c>
      <c r="S323" s="9">
        <f>BL319</f>
        <v>0</v>
      </c>
      <c r="T323" s="9" t="s">
        <v>39</v>
      </c>
      <c r="AM323" s="43"/>
      <c r="AN323" s="42"/>
      <c r="AO323" s="42"/>
      <c r="AP323" s="42"/>
      <c r="AQ323" s="42"/>
      <c r="AR323" s="42"/>
      <c r="AS323" s="42"/>
      <c r="AT323" s="42"/>
      <c r="AU323" s="42"/>
      <c r="AV323" s="41"/>
      <c r="AX323" s="43"/>
      <c r="AY323" s="42"/>
      <c r="AZ323" s="42"/>
      <c r="BA323" s="42"/>
      <c r="BB323" s="42"/>
      <c r="BC323" s="42"/>
      <c r="BD323" s="42"/>
      <c r="BE323" s="42"/>
      <c r="BF323" s="42"/>
      <c r="BG323" s="41"/>
      <c r="BI323" s="40"/>
      <c r="BJ323" s="39"/>
      <c r="BK323" s="39"/>
      <c r="BL323" s="39"/>
      <c r="BM323" s="39"/>
      <c r="BN323" s="39"/>
      <c r="BO323" s="39"/>
      <c r="BP323" s="39"/>
      <c r="BQ323" s="39"/>
      <c r="BR323" s="38"/>
    </row>
    <row r="324" spans="9:70" x14ac:dyDescent="0.3">
      <c r="I324" s="9" t="s">
        <v>58</v>
      </c>
      <c r="J324" s="32" t="s">
        <v>75</v>
      </c>
      <c r="K324" s="11"/>
      <c r="L324" s="9" t="s">
        <v>58</v>
      </c>
      <c r="M324" s="32" t="s">
        <v>74</v>
      </c>
      <c r="N324" s="11"/>
      <c r="O324" s="9" t="s">
        <v>58</v>
      </c>
      <c r="P324" s="32" t="s">
        <v>73</v>
      </c>
      <c r="Q324" s="11"/>
      <c r="R324" s="9" t="s">
        <v>58</v>
      </c>
      <c r="S324" s="32" t="s">
        <v>72</v>
      </c>
      <c r="T324" s="11"/>
      <c r="AD324" s="40"/>
      <c r="AE324" s="47" t="s">
        <v>71</v>
      </c>
      <c r="AF324" s="39"/>
      <c r="AG324" s="39"/>
      <c r="AH324" s="39"/>
      <c r="AI324" s="39"/>
      <c r="AJ324" s="39"/>
      <c r="AK324" s="38"/>
      <c r="AM324" s="37"/>
      <c r="AN324" s="188" t="s">
        <v>70</v>
      </c>
      <c r="AV324" s="36"/>
      <c r="AX324" s="37"/>
      <c r="AY324" s="188" t="s">
        <v>70</v>
      </c>
      <c r="BG324" s="36"/>
      <c r="BI324" s="21"/>
      <c r="BJ324" s="192" t="s">
        <v>70</v>
      </c>
      <c r="BK324" s="19"/>
      <c r="BL324" s="19"/>
      <c r="BM324" s="19"/>
      <c r="BN324" s="19"/>
      <c r="BO324" s="19"/>
      <c r="BP324" s="19"/>
      <c r="BQ324" s="19"/>
      <c r="BR324" s="18"/>
    </row>
    <row r="325" spans="9:70" x14ac:dyDescent="0.3">
      <c r="I325" s="9" t="s">
        <v>55</v>
      </c>
      <c r="J325" s="32">
        <v>8</v>
      </c>
      <c r="K325" s="11"/>
      <c r="L325" s="9" t="s">
        <v>55</v>
      </c>
      <c r="M325" s="32">
        <v>0</v>
      </c>
      <c r="N325" s="11"/>
      <c r="O325" s="9" t="s">
        <v>55</v>
      </c>
      <c r="P325" s="32">
        <v>6</v>
      </c>
      <c r="Q325" s="11"/>
      <c r="R325" s="9" t="s">
        <v>55</v>
      </c>
      <c r="S325" s="32">
        <v>0</v>
      </c>
      <c r="T325" s="11"/>
      <c r="AD325" s="21"/>
      <c r="AE325" s="19"/>
      <c r="AF325" s="19" t="s">
        <v>69</v>
      </c>
      <c r="AG325" s="19"/>
      <c r="AH325" s="19"/>
      <c r="AI325" s="19"/>
      <c r="AJ325" s="19"/>
      <c r="AK325" s="19"/>
      <c r="AM325" s="37"/>
      <c r="AN325" s="188"/>
      <c r="AP325">
        <f>AT303*AP319</f>
        <v>577.421337331009</v>
      </c>
      <c r="AQ325" t="s">
        <v>52</v>
      </c>
      <c r="AV325" s="36"/>
      <c r="AX325" s="37"/>
      <c r="AY325" s="188"/>
      <c r="BA325">
        <f>BE303*BA319</f>
        <v>464.58090115016034</v>
      </c>
      <c r="BB325" t="s">
        <v>52</v>
      </c>
      <c r="BG325" s="36"/>
      <c r="BI325" s="21"/>
      <c r="BJ325" s="192"/>
      <c r="BK325" s="19"/>
      <c r="BL325" s="19">
        <f>BP303*BL319</f>
        <v>0</v>
      </c>
      <c r="BM325" s="19" t="s">
        <v>52</v>
      </c>
      <c r="BN325" s="19"/>
      <c r="BO325" s="19"/>
      <c r="BP325" s="19"/>
      <c r="BQ325" s="19"/>
      <c r="BR325" s="18"/>
    </row>
    <row r="326" spans="9:70" x14ac:dyDescent="0.3">
      <c r="I326" s="9" t="s">
        <v>38</v>
      </c>
      <c r="J326" s="9">
        <f>J323*J322*J325</f>
        <v>240.88336373685445</v>
      </c>
      <c r="K326" s="9" t="s">
        <v>37</v>
      </c>
      <c r="L326" s="9" t="s">
        <v>38</v>
      </c>
      <c r="M326" s="9">
        <f>M323*M322*M325</f>
        <v>0</v>
      </c>
      <c r="N326" s="9" t="s">
        <v>37</v>
      </c>
      <c r="O326" s="9" t="s">
        <v>38</v>
      </c>
      <c r="P326" s="9">
        <f>P323*P322*P325</f>
        <v>571.09457116995327</v>
      </c>
      <c r="Q326" s="9" t="s">
        <v>37</v>
      </c>
      <c r="R326" s="9" t="s">
        <v>38</v>
      </c>
      <c r="S326" s="9">
        <f>S323*S322*S325</f>
        <v>0</v>
      </c>
      <c r="T326" s="9" t="s">
        <v>37</v>
      </c>
      <c r="AD326" s="21"/>
      <c r="AE326" s="19"/>
      <c r="AF326" s="19"/>
      <c r="AG326" s="19"/>
      <c r="AH326" s="19"/>
      <c r="AI326" s="45"/>
      <c r="AJ326" s="19"/>
      <c r="AK326" s="18"/>
      <c r="AM326" s="35"/>
      <c r="AN326" s="189"/>
      <c r="AO326" s="6"/>
      <c r="AP326" s="6"/>
      <c r="AQ326" s="6"/>
      <c r="AR326" s="6"/>
      <c r="AS326" s="6"/>
      <c r="AT326" s="6"/>
      <c r="AU326" s="6"/>
      <c r="AV326" s="34"/>
      <c r="AX326" s="35"/>
      <c r="AY326" s="189"/>
      <c r="AZ326" s="6"/>
      <c r="BA326" s="6"/>
      <c r="BB326" s="6"/>
      <c r="BC326" s="6"/>
      <c r="BD326" s="6"/>
      <c r="BE326" s="6"/>
      <c r="BF326" s="6"/>
      <c r="BG326" s="34"/>
      <c r="BI326" s="17"/>
      <c r="BJ326" s="193"/>
      <c r="BK326" s="16"/>
      <c r="BL326" s="16"/>
      <c r="BM326" s="16"/>
      <c r="BN326" s="16"/>
      <c r="BO326" s="16"/>
      <c r="BP326" s="16"/>
      <c r="BQ326" s="16"/>
      <c r="BR326" s="15"/>
    </row>
    <row r="327" spans="9:70" x14ac:dyDescent="0.3">
      <c r="I327" s="9" t="s">
        <v>54</v>
      </c>
      <c r="J327" s="33">
        <f>J326*1.1</f>
        <v>264.97170011053993</v>
      </c>
      <c r="K327" s="9" t="s">
        <v>37</v>
      </c>
      <c r="L327" s="9" t="s">
        <v>54</v>
      </c>
      <c r="M327" s="33">
        <f>M326*1.1</f>
        <v>0</v>
      </c>
      <c r="N327" s="9" t="s">
        <v>37</v>
      </c>
      <c r="O327" s="9" t="s">
        <v>54</v>
      </c>
      <c r="P327" s="33">
        <f>P326*1.1</f>
        <v>628.20402828694864</v>
      </c>
      <c r="Q327" s="9" t="s">
        <v>37</v>
      </c>
      <c r="R327" s="9" t="s">
        <v>54</v>
      </c>
      <c r="S327" s="33">
        <f>S326*1.1</f>
        <v>0</v>
      </c>
      <c r="T327" s="9" t="s">
        <v>37</v>
      </c>
      <c r="AD327" s="21"/>
      <c r="AE327" s="19" t="s">
        <v>68</v>
      </c>
      <c r="AF327" s="20">
        <v>9.5</v>
      </c>
      <c r="AG327" s="20" t="s">
        <v>39</v>
      </c>
      <c r="AH327" s="20"/>
      <c r="AI327" s="19"/>
      <c r="AJ327" s="19"/>
      <c r="AK327" s="18"/>
      <c r="AM327" s="43"/>
      <c r="AN327" s="42"/>
      <c r="AO327" s="42"/>
      <c r="AP327" s="42"/>
      <c r="AQ327" s="42"/>
      <c r="AR327" s="42"/>
      <c r="AS327" s="42"/>
      <c r="AT327" s="42"/>
      <c r="AU327" s="42"/>
      <c r="AV327" s="41"/>
      <c r="AX327" s="43"/>
      <c r="AY327" s="42"/>
      <c r="AZ327" s="42"/>
      <c r="BA327" s="42"/>
      <c r="BB327" s="42"/>
      <c r="BC327" s="42"/>
      <c r="BD327" s="42"/>
      <c r="BE327" s="42"/>
      <c r="BF327" s="42"/>
      <c r="BG327" s="41"/>
      <c r="BI327" s="40"/>
      <c r="BJ327" s="39"/>
      <c r="BK327" s="39"/>
      <c r="BL327" s="39"/>
      <c r="BM327" s="39"/>
      <c r="BN327" s="39"/>
      <c r="BO327" s="39"/>
      <c r="BP327" s="39"/>
      <c r="BQ327" s="39"/>
      <c r="BR327" s="38"/>
    </row>
    <row r="328" spans="9:70" ht="15.6" x14ac:dyDescent="0.35">
      <c r="AD328" s="195" t="s">
        <v>67</v>
      </c>
      <c r="AE328" s="46" t="s">
        <v>66</v>
      </c>
      <c r="AF328" s="19">
        <f>(60+94)/2</f>
        <v>77</v>
      </c>
      <c r="AG328" s="19" t="s">
        <v>64</v>
      </c>
      <c r="AH328" s="19"/>
      <c r="AI328" s="45" t="s">
        <v>65</v>
      </c>
      <c r="AJ328" s="19">
        <v>2</v>
      </c>
      <c r="AK328" s="18" t="s">
        <v>64</v>
      </c>
      <c r="AM328" s="37"/>
      <c r="AN328" s="188" t="s">
        <v>63</v>
      </c>
      <c r="AP328">
        <f>1.1*AP325</f>
        <v>635.1634710641099</v>
      </c>
      <c r="AQ328" t="s">
        <v>52</v>
      </c>
      <c r="AV328" s="36"/>
      <c r="AX328" s="37"/>
      <c r="AY328" s="188" t="s">
        <v>63</v>
      </c>
      <c r="BA328">
        <f>1.1*BA325</f>
        <v>511.03899126517643</v>
      </c>
      <c r="BB328" t="s">
        <v>52</v>
      </c>
      <c r="BG328" s="36"/>
      <c r="BI328" s="21"/>
      <c r="BJ328" s="192" t="s">
        <v>63</v>
      </c>
      <c r="BK328" s="19"/>
      <c r="BL328" s="19">
        <f>1.1*BL325</f>
        <v>0</v>
      </c>
      <c r="BM328" s="19" t="s">
        <v>52</v>
      </c>
      <c r="BN328" s="19"/>
      <c r="BO328" s="19"/>
      <c r="BP328" s="19"/>
      <c r="BQ328" s="19"/>
      <c r="BR328" s="18"/>
    </row>
    <row r="329" spans="9:70" x14ac:dyDescent="0.3">
      <c r="I329" s="9" t="s">
        <v>62</v>
      </c>
      <c r="J329" s="9">
        <v>1</v>
      </c>
      <c r="K329" s="9" t="s">
        <v>39</v>
      </c>
      <c r="L329" s="9" t="s">
        <v>62</v>
      </c>
      <c r="M329" s="9">
        <v>0</v>
      </c>
      <c r="N329" s="9" t="s">
        <v>39</v>
      </c>
      <c r="O329" s="9" t="s">
        <v>62</v>
      </c>
      <c r="P329" s="9">
        <v>0</v>
      </c>
      <c r="Q329" s="9" t="s">
        <v>39</v>
      </c>
      <c r="R329" s="9" t="s">
        <v>62</v>
      </c>
      <c r="S329" s="9">
        <v>0</v>
      </c>
      <c r="T329" s="9" t="s">
        <v>39</v>
      </c>
      <c r="AD329" s="195"/>
      <c r="AE329" s="19"/>
      <c r="AF329" s="19">
        <f>AF328/12</f>
        <v>6.416666666666667</v>
      </c>
      <c r="AG329" s="19" t="s">
        <v>39</v>
      </c>
      <c r="AH329" s="19"/>
      <c r="AI329" s="45"/>
      <c r="AJ329" s="19"/>
      <c r="AK329" s="18"/>
      <c r="AM329" s="35"/>
      <c r="AN329" s="189"/>
      <c r="AO329" s="6"/>
      <c r="AP329" s="6"/>
      <c r="AQ329" s="6"/>
      <c r="AR329" s="6"/>
      <c r="AS329" s="6"/>
      <c r="AT329" s="6"/>
      <c r="AU329" s="6"/>
      <c r="AV329" s="34"/>
      <c r="AX329" s="35"/>
      <c r="AY329" s="189"/>
      <c r="AZ329" s="6"/>
      <c r="BA329" s="6"/>
      <c r="BB329" s="6"/>
      <c r="BC329" s="6"/>
      <c r="BD329" s="6"/>
      <c r="BE329" s="6"/>
      <c r="BF329" s="6"/>
      <c r="BG329" s="34"/>
      <c r="BI329" s="17"/>
      <c r="BJ329" s="193"/>
      <c r="BK329" s="16"/>
      <c r="BL329" s="16"/>
      <c r="BM329" s="16"/>
      <c r="BN329" s="16"/>
      <c r="BO329" s="16"/>
      <c r="BP329" s="16"/>
      <c r="BQ329" s="16"/>
      <c r="BR329" s="15"/>
    </row>
    <row r="330" spans="9:70" x14ac:dyDescent="0.3">
      <c r="I330" s="9" t="s">
        <v>40</v>
      </c>
      <c r="J330" s="44">
        <v>0</v>
      </c>
      <c r="K330" s="9" t="s">
        <v>39</v>
      </c>
      <c r="L330" s="9" t="s">
        <v>40</v>
      </c>
      <c r="M330" s="44">
        <v>0</v>
      </c>
      <c r="N330" s="9" t="s">
        <v>39</v>
      </c>
      <c r="O330" s="9" t="s">
        <v>40</v>
      </c>
      <c r="P330" s="44">
        <v>0</v>
      </c>
      <c r="Q330" s="9" t="s">
        <v>39</v>
      </c>
      <c r="R330" s="9" t="s">
        <v>40</v>
      </c>
      <c r="S330" s="44">
        <v>0</v>
      </c>
      <c r="T330" s="9" t="s">
        <v>39</v>
      </c>
      <c r="AD330" s="21"/>
      <c r="AE330" s="19"/>
      <c r="AF330" s="19"/>
      <c r="AG330" s="19"/>
      <c r="AH330" s="19"/>
      <c r="AI330" s="19"/>
      <c r="AJ330" s="19"/>
      <c r="AK330" s="18"/>
      <c r="AM330" s="43"/>
      <c r="AN330" s="42"/>
      <c r="AO330" s="42"/>
      <c r="AP330" s="42"/>
      <c r="AQ330" s="42"/>
      <c r="AR330" s="42"/>
      <c r="AS330" s="42"/>
      <c r="AT330" s="42"/>
      <c r="AU330" s="42"/>
      <c r="AV330" s="41"/>
      <c r="AX330" s="43"/>
      <c r="AY330" s="42"/>
      <c r="AZ330" s="42"/>
      <c r="BA330" s="42"/>
      <c r="BB330" s="42"/>
      <c r="BC330" s="42"/>
      <c r="BD330" s="42"/>
      <c r="BE330" s="42"/>
      <c r="BF330" s="42"/>
      <c r="BG330" s="41"/>
      <c r="BI330" s="40"/>
      <c r="BJ330" s="39"/>
      <c r="BK330" s="39"/>
      <c r="BL330" s="39"/>
      <c r="BM330" s="39"/>
      <c r="BN330" s="39"/>
      <c r="BO330" s="39"/>
      <c r="BP330" s="39"/>
      <c r="BQ330" s="39"/>
      <c r="BR330" s="38"/>
    </row>
    <row r="331" spans="9:70" x14ac:dyDescent="0.3">
      <c r="I331" s="9" t="s">
        <v>58</v>
      </c>
      <c r="J331" s="32" t="s">
        <v>61</v>
      </c>
      <c r="K331" s="11"/>
      <c r="L331" s="9" t="s">
        <v>58</v>
      </c>
      <c r="M331" s="32" t="s">
        <v>60</v>
      </c>
      <c r="N331" s="11"/>
      <c r="O331" s="9" t="s">
        <v>58</v>
      </c>
      <c r="P331" s="32" t="s">
        <v>59</v>
      </c>
      <c r="Q331" s="11"/>
      <c r="R331" s="9" t="s">
        <v>58</v>
      </c>
      <c r="S331" s="32" t="s">
        <v>57</v>
      </c>
      <c r="T331" s="11"/>
      <c r="AD331" s="21"/>
      <c r="AE331" s="19"/>
      <c r="AF331" s="19"/>
      <c r="AG331" s="19"/>
      <c r="AH331" s="19"/>
      <c r="AI331" s="19"/>
      <c r="AJ331" s="19"/>
      <c r="AK331" s="18"/>
      <c r="AM331" s="37"/>
      <c r="AN331" s="188" t="s">
        <v>56</v>
      </c>
      <c r="AP331">
        <v>6</v>
      </c>
      <c r="AV331" s="36"/>
      <c r="AX331" s="37"/>
      <c r="AY331" s="188" t="s">
        <v>56</v>
      </c>
      <c r="BA331">
        <v>6</v>
      </c>
      <c r="BG331" s="36"/>
      <c r="BI331" s="21"/>
      <c r="BJ331" s="192" t="s">
        <v>56</v>
      </c>
      <c r="BK331" s="19"/>
      <c r="BL331" s="19">
        <v>2</v>
      </c>
      <c r="BM331" s="19"/>
      <c r="BN331" s="19"/>
      <c r="BO331" s="19"/>
      <c r="BP331" s="19"/>
      <c r="BQ331" s="19"/>
      <c r="BR331" s="18"/>
    </row>
    <row r="332" spans="9:70" x14ac:dyDescent="0.3">
      <c r="I332" s="9" t="s">
        <v>55</v>
      </c>
      <c r="J332" s="32">
        <v>0</v>
      </c>
      <c r="K332" s="11"/>
      <c r="L332" s="9" t="s">
        <v>55</v>
      </c>
      <c r="M332" s="32">
        <v>0</v>
      </c>
      <c r="N332" s="11"/>
      <c r="O332" s="9" t="s">
        <v>55</v>
      </c>
      <c r="P332" s="32">
        <v>0</v>
      </c>
      <c r="Q332" s="11"/>
      <c r="R332" s="9" t="s">
        <v>55</v>
      </c>
      <c r="S332" s="32">
        <v>0</v>
      </c>
      <c r="T332" s="11"/>
      <c r="AD332" s="21"/>
      <c r="AE332" s="19"/>
      <c r="AF332" s="19"/>
      <c r="AG332" s="19"/>
      <c r="AH332" s="19"/>
      <c r="AI332" s="19"/>
      <c r="AJ332" s="19"/>
      <c r="AK332" s="18"/>
      <c r="AM332" s="37"/>
      <c r="AN332" s="188"/>
      <c r="AV332" s="36"/>
      <c r="AX332" s="37"/>
      <c r="AY332" s="188"/>
      <c r="BG332" s="36"/>
      <c r="BI332" s="21"/>
      <c r="BJ332" s="192"/>
      <c r="BK332" s="19"/>
      <c r="BL332" s="19"/>
      <c r="BM332" s="19"/>
      <c r="BN332" s="19"/>
      <c r="BO332" s="19"/>
      <c r="BP332" s="19"/>
      <c r="BQ332" s="19"/>
      <c r="BR332" s="18"/>
    </row>
    <row r="333" spans="9:70" x14ac:dyDescent="0.3">
      <c r="I333" s="9" t="s">
        <v>38</v>
      </c>
      <c r="J333" s="9">
        <f>J330*J329*J332</f>
        <v>0</v>
      </c>
      <c r="K333" s="9" t="s">
        <v>37</v>
      </c>
      <c r="L333" s="9" t="s">
        <v>38</v>
      </c>
      <c r="M333" s="9">
        <f>M330*M329*M332</f>
        <v>0</v>
      </c>
      <c r="N333" s="9" t="s">
        <v>37</v>
      </c>
      <c r="O333" s="9" t="s">
        <v>38</v>
      </c>
      <c r="P333" s="9">
        <f>P330*P329*P332</f>
        <v>0</v>
      </c>
      <c r="Q333" s="9" t="s">
        <v>37</v>
      </c>
      <c r="R333" s="9" t="s">
        <v>38</v>
      </c>
      <c r="S333" s="9">
        <f>S330*S329*S332</f>
        <v>0</v>
      </c>
      <c r="T333" s="9" t="s">
        <v>37</v>
      </c>
      <c r="AD333" s="21"/>
      <c r="AE333" s="19">
        <f>AF329-2*(AJ328/12+0.083)</f>
        <v>5.9173333333333336</v>
      </c>
      <c r="AF333" s="19" t="s">
        <v>6</v>
      </c>
      <c r="AG333" s="19"/>
      <c r="AH333" s="19">
        <f>SQRT((AG337)^2+(AE333)^2)</f>
        <v>11.192177347494891</v>
      </c>
      <c r="AI333" s="19" t="s">
        <v>6</v>
      </c>
      <c r="AJ333" s="19"/>
      <c r="AK333" s="18"/>
      <c r="AM333" s="35"/>
      <c r="AN333" s="6"/>
      <c r="AO333" s="6"/>
      <c r="AP333" s="6"/>
      <c r="AQ333" s="6"/>
      <c r="AR333" s="6"/>
      <c r="AS333" s="6"/>
      <c r="AT333" s="6"/>
      <c r="AU333" s="6"/>
      <c r="AV333" s="34"/>
      <c r="AX333" s="35"/>
      <c r="AY333" s="6"/>
      <c r="AZ333" s="6"/>
      <c r="BA333" s="6"/>
      <c r="BB333" s="6"/>
      <c r="BC333" s="6"/>
      <c r="BD333" s="6"/>
      <c r="BE333" s="6"/>
      <c r="BF333" s="6"/>
      <c r="BG333" s="34"/>
      <c r="BI333" s="17"/>
      <c r="BJ333" s="16"/>
      <c r="BK333" s="16"/>
      <c r="BL333" s="16"/>
      <c r="BM333" s="16"/>
      <c r="BN333" s="16"/>
      <c r="BO333" s="16"/>
      <c r="BP333" s="16"/>
      <c r="BQ333" s="16"/>
      <c r="BR333" s="15"/>
    </row>
    <row r="334" spans="9:70" ht="18" customHeight="1" x14ac:dyDescent="0.3">
      <c r="I334" s="9" t="s">
        <v>54</v>
      </c>
      <c r="J334" s="33">
        <f>J333*1.1</f>
        <v>0</v>
      </c>
      <c r="K334" s="9" t="s">
        <v>37</v>
      </c>
      <c r="L334" s="9" t="s">
        <v>54</v>
      </c>
      <c r="M334" s="33">
        <f>M333*1.1</f>
        <v>0</v>
      </c>
      <c r="N334" s="9" t="s">
        <v>37</v>
      </c>
      <c r="O334" s="9" t="s">
        <v>54</v>
      </c>
      <c r="P334" s="33">
        <f>P333*1.1</f>
        <v>0</v>
      </c>
      <c r="Q334" s="9" t="s">
        <v>37</v>
      </c>
      <c r="R334" s="9" t="s">
        <v>54</v>
      </c>
      <c r="S334" s="33">
        <f>S333*1.1</f>
        <v>0</v>
      </c>
      <c r="T334" s="9" t="s">
        <v>37</v>
      </c>
      <c r="AD334" s="21"/>
      <c r="AE334" s="19">
        <f>AE333*12</f>
        <v>71.00800000000001</v>
      </c>
      <c r="AF334" s="19"/>
      <c r="AG334" s="19"/>
      <c r="AH334" s="19"/>
      <c r="AI334" s="19"/>
      <c r="AJ334" s="19"/>
      <c r="AK334" s="18"/>
      <c r="AM334" s="32"/>
      <c r="AN334" s="31" t="s">
        <v>53</v>
      </c>
      <c r="AO334" s="12"/>
      <c r="AP334" s="30">
        <f>AP328*AP331</f>
        <v>3810.9808263846594</v>
      </c>
      <c r="AQ334" s="12" t="s">
        <v>52</v>
      </c>
      <c r="AR334" s="12"/>
      <c r="AS334" s="12"/>
      <c r="AT334" s="12"/>
      <c r="AU334" s="12"/>
      <c r="AV334" s="11"/>
      <c r="AX334" s="32"/>
      <c r="AY334" s="31" t="s">
        <v>53</v>
      </c>
      <c r="AZ334" s="12"/>
      <c r="BA334" s="30">
        <f>BA328*BA331</f>
        <v>3066.2339475910585</v>
      </c>
      <c r="BB334" s="12" t="s">
        <v>52</v>
      </c>
      <c r="BC334" s="12"/>
      <c r="BD334" s="12"/>
      <c r="BE334" s="12"/>
      <c r="BF334" s="12"/>
      <c r="BG334" s="11"/>
      <c r="BI334" s="29"/>
      <c r="BJ334" s="28" t="s">
        <v>53</v>
      </c>
      <c r="BK334" s="27"/>
      <c r="BL334" s="27">
        <f>BL328*BL331</f>
        <v>0</v>
      </c>
      <c r="BM334" s="27" t="s">
        <v>52</v>
      </c>
      <c r="BN334" s="27"/>
      <c r="BO334" s="27"/>
      <c r="BP334" s="27"/>
      <c r="BQ334" s="27"/>
      <c r="BR334" s="26"/>
    </row>
    <row r="335" spans="9:70" x14ac:dyDescent="0.3">
      <c r="AD335" s="21"/>
      <c r="AE335" s="19"/>
      <c r="AF335" s="19"/>
      <c r="AG335" s="19"/>
      <c r="AH335" s="19"/>
      <c r="AI335" s="19"/>
      <c r="AJ335" s="19"/>
      <c r="AK335" s="18"/>
    </row>
    <row r="336" spans="9:70" x14ac:dyDescent="0.3">
      <c r="AD336" s="21"/>
      <c r="AE336" s="19"/>
      <c r="AF336" s="19"/>
      <c r="AG336" s="19"/>
      <c r="AH336" s="19"/>
      <c r="AI336" s="19"/>
      <c r="AJ336" s="19"/>
      <c r="AK336" s="18"/>
    </row>
    <row r="337" spans="9:37" ht="43.2" x14ac:dyDescent="0.3">
      <c r="M337" s="25" t="s">
        <v>51</v>
      </c>
      <c r="N337" s="24">
        <f>K310+O310+K314+O315+S315+K319+O319+S319+J327+M327+P327+S327+J334+M334+P334+S334</f>
        <v>2944.565094629902</v>
      </c>
      <c r="O337" t="s">
        <v>37</v>
      </c>
      <c r="P337" s="5" t="s">
        <v>50</v>
      </c>
      <c r="AD337" s="21"/>
      <c r="AE337" s="19"/>
      <c r="AF337" s="19"/>
      <c r="AG337" s="20">
        <f>AF327</f>
        <v>9.5</v>
      </c>
      <c r="AH337" s="19"/>
      <c r="AI337" s="19"/>
      <c r="AJ337" s="19"/>
      <c r="AK337" s="18"/>
    </row>
    <row r="338" spans="9:37" x14ac:dyDescent="0.3">
      <c r="AD338" s="21"/>
      <c r="AE338" s="19"/>
      <c r="AF338" s="19"/>
      <c r="AG338" s="19"/>
      <c r="AH338" s="19"/>
      <c r="AI338" s="19"/>
      <c r="AJ338" s="19"/>
      <c r="AK338" s="18"/>
    </row>
    <row r="339" spans="9:37" x14ac:dyDescent="0.3">
      <c r="AD339" s="21" t="s">
        <v>49</v>
      </c>
      <c r="AE339" s="19"/>
      <c r="AF339" s="19"/>
      <c r="AG339" s="20">
        <f>(1*AG337)+(2*AH333)</f>
        <v>31.884354694989781</v>
      </c>
      <c r="AH339" s="19" t="s">
        <v>48</v>
      </c>
      <c r="AI339" s="19"/>
      <c r="AJ339" s="19"/>
      <c r="AK339" s="18"/>
    </row>
    <row r="340" spans="9:37" x14ac:dyDescent="0.3">
      <c r="AD340" s="21"/>
      <c r="AE340" s="19"/>
      <c r="AF340" s="19"/>
      <c r="AG340" s="19"/>
      <c r="AH340" s="19"/>
      <c r="AI340" s="19"/>
      <c r="AJ340" s="19"/>
      <c r="AK340" s="18"/>
    </row>
    <row r="341" spans="9:37" x14ac:dyDescent="0.3">
      <c r="AD341" s="23" t="s">
        <v>47</v>
      </c>
      <c r="AE341" s="19"/>
      <c r="AF341" s="19"/>
      <c r="AG341" s="22">
        <f>0.25*4*AG339</f>
        <v>31.884354694989781</v>
      </c>
      <c r="AH341" s="19" t="s">
        <v>44</v>
      </c>
      <c r="AI341" s="19"/>
      <c r="AJ341" s="19"/>
      <c r="AK341" s="18"/>
    </row>
    <row r="342" spans="9:37" x14ac:dyDescent="0.3">
      <c r="AD342" s="21" t="s">
        <v>46</v>
      </c>
      <c r="AE342" s="19"/>
      <c r="AF342" s="19" t="s">
        <v>45</v>
      </c>
      <c r="AG342" s="20">
        <f>AG341*1.1</f>
        <v>35.072790164488765</v>
      </c>
      <c r="AH342" s="19" t="s">
        <v>44</v>
      </c>
      <c r="AI342" s="19"/>
      <c r="AJ342" s="19"/>
      <c r="AK342" s="18"/>
    </row>
    <row r="343" spans="9:37" x14ac:dyDescent="0.3">
      <c r="AD343" s="17"/>
      <c r="AE343" s="16"/>
      <c r="AF343" s="16"/>
      <c r="AG343" s="16"/>
      <c r="AH343" s="16"/>
      <c r="AI343" s="16"/>
      <c r="AJ343" s="16"/>
      <c r="AK343" s="15"/>
    </row>
    <row r="344" spans="9:37" x14ac:dyDescent="0.3">
      <c r="I344" s="156" t="s">
        <v>43</v>
      </c>
      <c r="J344" s="27"/>
      <c r="K344" s="157" t="s">
        <v>42</v>
      </c>
      <c r="L344" s="27"/>
      <c r="M344" s="27"/>
      <c r="N344" s="26"/>
    </row>
    <row r="345" spans="9:37" x14ac:dyDescent="0.3">
      <c r="I345" s="158" t="s">
        <v>41</v>
      </c>
      <c r="J345" s="158">
        <v>10</v>
      </c>
      <c r="K345" s="158" t="s">
        <v>39</v>
      </c>
      <c r="L345" s="19"/>
      <c r="M345" s="19"/>
      <c r="N345" s="19"/>
    </row>
    <row r="346" spans="9:37" x14ac:dyDescent="0.3">
      <c r="I346" s="158" t="s">
        <v>40</v>
      </c>
      <c r="J346" s="158">
        <v>20</v>
      </c>
      <c r="K346" s="158" t="s">
        <v>39</v>
      </c>
      <c r="L346" s="19"/>
      <c r="M346" s="19"/>
      <c r="N346" s="19"/>
    </row>
    <row r="347" spans="9:37" x14ac:dyDescent="0.3">
      <c r="I347" s="158" t="s">
        <v>38</v>
      </c>
      <c r="J347" s="158">
        <f>J345*J346</f>
        <v>200</v>
      </c>
      <c r="K347" s="158" t="s">
        <v>37</v>
      </c>
      <c r="L347" s="19"/>
      <c r="M347" s="19"/>
      <c r="N347" s="19"/>
    </row>
    <row r="355" spans="1:5" x14ac:dyDescent="0.3">
      <c r="A355" s="2" t="s">
        <v>263</v>
      </c>
    </row>
    <row r="357" spans="1:5" x14ac:dyDescent="0.3">
      <c r="A357" t="s">
        <v>35</v>
      </c>
      <c r="D357">
        <v>0</v>
      </c>
      <c r="E357" t="s">
        <v>6</v>
      </c>
    </row>
    <row r="358" spans="1:5" x14ac:dyDescent="0.3">
      <c r="A358" t="s">
        <v>34</v>
      </c>
      <c r="D358">
        <v>0</v>
      </c>
      <c r="E358" t="s">
        <v>33</v>
      </c>
    </row>
    <row r="360" spans="1:5" x14ac:dyDescent="0.3">
      <c r="A360" t="s">
        <v>32</v>
      </c>
      <c r="D360" s="8">
        <v>121</v>
      </c>
      <c r="E360" t="s">
        <v>6</v>
      </c>
    </row>
    <row r="361" spans="1:5" x14ac:dyDescent="0.3">
      <c r="A361" t="s">
        <v>31</v>
      </c>
      <c r="D361" s="7">
        <v>103</v>
      </c>
      <c r="E361" s="6" t="s">
        <v>6</v>
      </c>
    </row>
    <row r="362" spans="1:5" x14ac:dyDescent="0.3">
      <c r="A362" t="s">
        <v>30</v>
      </c>
      <c r="D362" s="4">
        <f>SUM(D360:D361)</f>
        <v>224</v>
      </c>
      <c r="E362" s="3" t="s">
        <v>6</v>
      </c>
    </row>
    <row r="366" spans="1:5" hidden="1" x14ac:dyDescent="0.3">
      <c r="A366" s="2" t="s">
        <v>29</v>
      </c>
    </row>
    <row r="367" spans="1:5" hidden="1" x14ac:dyDescent="0.3"/>
    <row r="368" spans="1:5" hidden="1" x14ac:dyDescent="0.3">
      <c r="A368" t="s">
        <v>28</v>
      </c>
      <c r="B368" t="s">
        <v>27</v>
      </c>
      <c r="C368">
        <v>0</v>
      </c>
      <c r="D368" t="s">
        <v>0</v>
      </c>
    </row>
    <row r="371" spans="1:5" x14ac:dyDescent="0.3">
      <c r="A371" s="2" t="s">
        <v>295</v>
      </c>
    </row>
    <row r="372" spans="1:5" x14ac:dyDescent="0.3">
      <c r="A372" s="2" t="s">
        <v>25</v>
      </c>
    </row>
    <row r="373" spans="1:5" x14ac:dyDescent="0.3">
      <c r="A373" t="s">
        <v>24</v>
      </c>
      <c r="C373">
        <v>0</v>
      </c>
      <c r="D373" t="s">
        <v>0</v>
      </c>
    </row>
    <row r="375" spans="1:5" x14ac:dyDescent="0.3">
      <c r="A375" t="s">
        <v>23</v>
      </c>
      <c r="C375" s="6">
        <v>7</v>
      </c>
      <c r="D375" s="6" t="s">
        <v>0</v>
      </c>
    </row>
    <row r="376" spans="1:5" x14ac:dyDescent="0.3">
      <c r="C376" s="3">
        <f>SUM(C373:C375)</f>
        <v>7</v>
      </c>
      <c r="D376" s="3" t="s">
        <v>0</v>
      </c>
    </row>
    <row r="379" spans="1:5" hidden="1" x14ac:dyDescent="0.3">
      <c r="A379" s="5" t="s">
        <v>22</v>
      </c>
    </row>
    <row r="380" spans="1:5" hidden="1" x14ac:dyDescent="0.3">
      <c r="A380" t="s">
        <v>21</v>
      </c>
      <c r="C380" s="3"/>
      <c r="D380" s="3" t="s">
        <v>0</v>
      </c>
    </row>
    <row r="381" spans="1:5" hidden="1" x14ac:dyDescent="0.3"/>
    <row r="382" spans="1:5" x14ac:dyDescent="0.3">
      <c r="A382" s="2" t="s">
        <v>1</v>
      </c>
      <c r="B382" s="1"/>
      <c r="C382" s="1"/>
      <c r="D382" s="3">
        <v>10</v>
      </c>
      <c r="E382" s="3" t="s">
        <v>0</v>
      </c>
    </row>
    <row r="385" spans="1:5" x14ac:dyDescent="0.3">
      <c r="A385" s="5" t="s">
        <v>20</v>
      </c>
    </row>
    <row r="386" spans="1:5" x14ac:dyDescent="0.3">
      <c r="A386" s="5"/>
    </row>
    <row r="387" spans="1:5" x14ac:dyDescent="0.3">
      <c r="A387" t="s">
        <v>12</v>
      </c>
      <c r="C387">
        <v>0</v>
      </c>
      <c r="D387" t="s">
        <v>11</v>
      </c>
      <c r="E387" t="s">
        <v>10</v>
      </c>
    </row>
    <row r="388" spans="1:5" x14ac:dyDescent="0.3">
      <c r="A388" s="5"/>
    </row>
    <row r="389" spans="1:5" x14ac:dyDescent="0.3">
      <c r="A389" t="s">
        <v>19</v>
      </c>
    </row>
    <row r="390" spans="1:5" x14ac:dyDescent="0.3">
      <c r="A390" t="s">
        <v>15</v>
      </c>
      <c r="D390">
        <v>0</v>
      </c>
      <c r="E390" t="s">
        <v>6</v>
      </c>
    </row>
    <row r="391" spans="1:5" x14ac:dyDescent="0.3">
      <c r="A391" t="s">
        <v>7</v>
      </c>
      <c r="D391">
        <v>0</v>
      </c>
      <c r="E391" t="s">
        <v>6</v>
      </c>
    </row>
    <row r="392" spans="1:5" x14ac:dyDescent="0.3">
      <c r="A392" t="s">
        <v>5</v>
      </c>
      <c r="D392">
        <v>0</v>
      </c>
    </row>
    <row r="393" spans="1:5" x14ac:dyDescent="0.3">
      <c r="A393" t="s">
        <v>4</v>
      </c>
      <c r="C393">
        <f>D390*D391*D392</f>
        <v>0</v>
      </c>
      <c r="D393" t="s">
        <v>3</v>
      </c>
    </row>
    <row r="395" spans="1:5" x14ac:dyDescent="0.3">
      <c r="A395" t="s">
        <v>18</v>
      </c>
    </row>
    <row r="396" spans="1:5" x14ac:dyDescent="0.3">
      <c r="A396" t="s">
        <v>15</v>
      </c>
      <c r="D396">
        <v>0</v>
      </c>
      <c r="E396" t="s">
        <v>6</v>
      </c>
    </row>
    <row r="397" spans="1:5" x14ac:dyDescent="0.3">
      <c r="A397" t="s">
        <v>7</v>
      </c>
      <c r="D397">
        <v>0</v>
      </c>
      <c r="E397" t="s">
        <v>6</v>
      </c>
    </row>
    <row r="398" spans="1:5" x14ac:dyDescent="0.3">
      <c r="A398" t="s">
        <v>5</v>
      </c>
      <c r="D398">
        <v>0</v>
      </c>
    </row>
    <row r="399" spans="1:5" x14ac:dyDescent="0.3">
      <c r="A399" t="s">
        <v>4</v>
      </c>
      <c r="C399">
        <f>D396*D397*D398</f>
        <v>0</v>
      </c>
      <c r="D399" t="s">
        <v>3</v>
      </c>
    </row>
    <row r="401" spans="1:5" x14ac:dyDescent="0.3">
      <c r="A401" t="s">
        <v>17</v>
      </c>
    </row>
    <row r="402" spans="1:5" x14ac:dyDescent="0.3">
      <c r="A402" t="s">
        <v>15</v>
      </c>
      <c r="D402">
        <v>0</v>
      </c>
      <c r="E402" t="s">
        <v>6</v>
      </c>
    </row>
    <row r="403" spans="1:5" x14ac:dyDescent="0.3">
      <c r="A403" t="s">
        <v>7</v>
      </c>
      <c r="D403">
        <v>0</v>
      </c>
      <c r="E403" t="s">
        <v>6</v>
      </c>
    </row>
    <row r="404" spans="1:5" x14ac:dyDescent="0.3">
      <c r="A404" t="s">
        <v>5</v>
      </c>
      <c r="D404">
        <v>0</v>
      </c>
    </row>
    <row r="405" spans="1:5" x14ac:dyDescent="0.3">
      <c r="A405" t="s">
        <v>4</v>
      </c>
      <c r="C405">
        <f>D402*D403*D404</f>
        <v>0</v>
      </c>
      <c r="D405" t="s">
        <v>3</v>
      </c>
    </row>
    <row r="407" spans="1:5" x14ac:dyDescent="0.3">
      <c r="A407" t="s">
        <v>16</v>
      </c>
    </row>
    <row r="408" spans="1:5" x14ac:dyDescent="0.3">
      <c r="A408" t="s">
        <v>15</v>
      </c>
      <c r="D408">
        <v>0</v>
      </c>
      <c r="E408" t="s">
        <v>6</v>
      </c>
    </row>
    <row r="409" spans="1:5" x14ac:dyDescent="0.3">
      <c r="A409" t="s">
        <v>7</v>
      </c>
      <c r="D409">
        <v>0</v>
      </c>
      <c r="E409" t="s">
        <v>6</v>
      </c>
    </row>
    <row r="410" spans="1:5" x14ac:dyDescent="0.3">
      <c r="A410" t="s">
        <v>5</v>
      </c>
      <c r="D410">
        <v>0</v>
      </c>
    </row>
    <row r="411" spans="1:5" x14ac:dyDescent="0.3">
      <c r="A411" t="s">
        <v>4</v>
      </c>
      <c r="C411">
        <f>D408*D409*D410</f>
        <v>0</v>
      </c>
      <c r="D411" t="s">
        <v>3</v>
      </c>
    </row>
    <row r="413" spans="1:5" x14ac:dyDescent="0.3">
      <c r="A413" t="s">
        <v>14</v>
      </c>
      <c r="C413" s="3">
        <f>ROUNDUP(C387+C393+C399+C405+C411,0)</f>
        <v>0</v>
      </c>
      <c r="D413" s="3" t="s">
        <v>3</v>
      </c>
    </row>
    <row r="417" spans="1:12" x14ac:dyDescent="0.3">
      <c r="A417" s="2"/>
      <c r="B417" s="2"/>
      <c r="C417" s="2"/>
    </row>
    <row r="418" spans="1:12" x14ac:dyDescent="0.3">
      <c r="A418" s="5" t="s">
        <v>13</v>
      </c>
    </row>
    <row r="419" spans="1:12" x14ac:dyDescent="0.3">
      <c r="A419" s="5"/>
    </row>
    <row r="420" spans="1:12" x14ac:dyDescent="0.3">
      <c r="A420" t="s">
        <v>12</v>
      </c>
      <c r="C420">
        <v>0</v>
      </c>
      <c r="D420" t="s">
        <v>11</v>
      </c>
      <c r="E420" t="s">
        <v>10</v>
      </c>
    </row>
    <row r="421" spans="1:12" ht="15" thickBot="1" x14ac:dyDescent="0.35"/>
    <row r="422" spans="1:12" x14ac:dyDescent="0.3">
      <c r="A422" s="108" t="s">
        <v>250</v>
      </c>
      <c r="B422" s="109"/>
      <c r="C422" s="109"/>
      <c r="D422" s="110"/>
      <c r="G422" s="108" t="s">
        <v>249</v>
      </c>
      <c r="H422" s="109"/>
      <c r="I422" s="109"/>
      <c r="J422" s="109"/>
      <c r="K422" s="110"/>
      <c r="L422" s="117"/>
    </row>
    <row r="423" spans="1:12" x14ac:dyDescent="0.3">
      <c r="A423" s="111" t="s">
        <v>231</v>
      </c>
      <c r="B423" t="s">
        <v>232</v>
      </c>
      <c r="C423">
        <v>1</v>
      </c>
      <c r="D423" s="112" t="s">
        <v>11</v>
      </c>
      <c r="G423" s="111" t="s">
        <v>231</v>
      </c>
      <c r="H423" t="s">
        <v>233</v>
      </c>
      <c r="I423">
        <v>3</v>
      </c>
      <c r="J423" t="s">
        <v>11</v>
      </c>
      <c r="K423" s="42"/>
      <c r="L423" s="112"/>
    </row>
    <row r="424" spans="1:12" x14ac:dyDescent="0.3">
      <c r="A424" s="111" t="s">
        <v>234</v>
      </c>
      <c r="B424" t="s">
        <v>235</v>
      </c>
      <c r="C424">
        <v>4</v>
      </c>
      <c r="D424" s="112" t="s">
        <v>11</v>
      </c>
      <c r="G424" s="111" t="s">
        <v>234</v>
      </c>
      <c r="H424" t="s">
        <v>236</v>
      </c>
      <c r="I424">
        <v>10</v>
      </c>
      <c r="J424" t="s">
        <v>11</v>
      </c>
      <c r="L424" s="112"/>
    </row>
    <row r="425" spans="1:12" x14ac:dyDescent="0.3">
      <c r="A425" s="111" t="s">
        <v>69</v>
      </c>
      <c r="B425" t="s">
        <v>237</v>
      </c>
      <c r="C425">
        <v>4</v>
      </c>
      <c r="D425" s="112" t="s">
        <v>11</v>
      </c>
      <c r="G425" s="111" t="s">
        <v>69</v>
      </c>
      <c r="H425" t="s">
        <v>238</v>
      </c>
      <c r="I425">
        <v>15</v>
      </c>
      <c r="J425" t="s">
        <v>11</v>
      </c>
      <c r="L425" s="112"/>
    </row>
    <row r="426" spans="1:12" x14ac:dyDescent="0.3">
      <c r="A426" s="111" t="s">
        <v>239</v>
      </c>
      <c r="B426" t="s">
        <v>240</v>
      </c>
      <c r="C426">
        <v>6</v>
      </c>
      <c r="D426" s="112" t="s">
        <v>11</v>
      </c>
      <c r="G426" s="111" t="s">
        <v>239</v>
      </c>
      <c r="H426" t="s">
        <v>241</v>
      </c>
      <c r="I426">
        <v>2</v>
      </c>
      <c r="J426" t="s">
        <v>11</v>
      </c>
      <c r="L426" s="112"/>
    </row>
    <row r="427" spans="1:12" x14ac:dyDescent="0.3">
      <c r="A427" s="111" t="s">
        <v>242</v>
      </c>
      <c r="B427" t="s">
        <v>240</v>
      </c>
      <c r="C427">
        <v>6</v>
      </c>
      <c r="D427" s="112" t="s">
        <v>11</v>
      </c>
      <c r="G427" s="111" t="s">
        <v>242</v>
      </c>
      <c r="H427" t="s">
        <v>243</v>
      </c>
      <c r="I427">
        <v>8</v>
      </c>
      <c r="J427" t="s">
        <v>11</v>
      </c>
      <c r="L427" s="112"/>
    </row>
    <row r="428" spans="1:12" x14ac:dyDescent="0.3">
      <c r="A428" s="111" t="s">
        <v>244</v>
      </c>
      <c r="B428" t="s">
        <v>232</v>
      </c>
      <c r="C428">
        <v>1</v>
      </c>
      <c r="D428" s="112" t="s">
        <v>11</v>
      </c>
      <c r="G428" s="111" t="s">
        <v>244</v>
      </c>
      <c r="H428" t="s">
        <v>237</v>
      </c>
      <c r="I428">
        <v>4</v>
      </c>
      <c r="J428" t="s">
        <v>11</v>
      </c>
      <c r="L428" s="112"/>
    </row>
    <row r="429" spans="1:12" x14ac:dyDescent="0.3">
      <c r="A429" s="111" t="s">
        <v>245</v>
      </c>
      <c r="B429" t="s">
        <v>241</v>
      </c>
      <c r="C429">
        <v>2</v>
      </c>
      <c r="D429" s="112" t="s">
        <v>11</v>
      </c>
      <c r="G429" s="111" t="s">
        <v>245</v>
      </c>
      <c r="H429" t="s">
        <v>232</v>
      </c>
      <c r="I429">
        <v>1</v>
      </c>
      <c r="J429" t="s">
        <v>11</v>
      </c>
      <c r="L429" s="112"/>
    </row>
    <row r="430" spans="1:12" x14ac:dyDescent="0.3">
      <c r="A430" s="111" t="s">
        <v>246</v>
      </c>
      <c r="B430" t="s">
        <v>247</v>
      </c>
      <c r="C430">
        <v>6</v>
      </c>
      <c r="D430" s="112" t="s">
        <v>11</v>
      </c>
      <c r="G430" s="111" t="s">
        <v>246</v>
      </c>
      <c r="H430" t="s">
        <v>237</v>
      </c>
      <c r="I430">
        <v>4</v>
      </c>
      <c r="J430" t="s">
        <v>11</v>
      </c>
      <c r="L430" s="112"/>
    </row>
    <row r="431" spans="1:12" x14ac:dyDescent="0.3">
      <c r="A431" s="111" t="s">
        <v>248</v>
      </c>
      <c r="B431" t="s">
        <v>233</v>
      </c>
      <c r="C431" s="6">
        <v>3</v>
      </c>
      <c r="D431" s="113" t="s">
        <v>11</v>
      </c>
      <c r="G431" s="111" t="s">
        <v>248</v>
      </c>
      <c r="H431" t="s">
        <v>233</v>
      </c>
      <c r="I431" s="6">
        <v>3</v>
      </c>
      <c r="J431" s="6" t="s">
        <v>11</v>
      </c>
      <c r="L431" s="112"/>
    </row>
    <row r="432" spans="1:12" ht="15" thickBot="1" x14ac:dyDescent="0.35">
      <c r="A432" s="114"/>
      <c r="B432" s="115"/>
      <c r="C432" s="115">
        <f>SUM(C423:C431)</f>
        <v>33</v>
      </c>
      <c r="D432" s="116" t="s">
        <v>11</v>
      </c>
      <c r="G432" s="114"/>
      <c r="H432" s="115"/>
      <c r="I432" s="115">
        <f>SUM(I423:I431)</f>
        <v>50</v>
      </c>
      <c r="J432" s="115" t="s">
        <v>11</v>
      </c>
      <c r="K432" s="115"/>
      <c r="L432" s="116"/>
    </row>
    <row r="434" spans="1:5" x14ac:dyDescent="0.3">
      <c r="A434" s="5"/>
    </row>
    <row r="435" spans="1:5" x14ac:dyDescent="0.3">
      <c r="A435" t="s">
        <v>331</v>
      </c>
      <c r="D435">
        <f>(C432+I432)*1.5</f>
        <v>124.5</v>
      </c>
      <c r="E435" t="s">
        <v>3</v>
      </c>
    </row>
    <row r="437" spans="1:5" x14ac:dyDescent="0.3">
      <c r="D437" s="4">
        <f>(D435)/9</f>
        <v>13.833333333333334</v>
      </c>
      <c r="E437" s="3" t="s">
        <v>2</v>
      </c>
    </row>
    <row r="440" spans="1:5" hidden="1" x14ac:dyDescent="0.3">
      <c r="A440" s="2" t="s">
        <v>1</v>
      </c>
      <c r="B440" s="1"/>
      <c r="C440" s="1"/>
      <c r="D440">
        <v>0</v>
      </c>
      <c r="E440" t="s">
        <v>0</v>
      </c>
    </row>
    <row r="441" spans="1:5" hidden="1" x14ac:dyDescent="0.3"/>
    <row r="442" spans="1:5" hidden="1" x14ac:dyDescent="0.3"/>
    <row r="443" spans="1:5" x14ac:dyDescent="0.3">
      <c r="A443" s="2" t="s">
        <v>260</v>
      </c>
    </row>
    <row r="445" spans="1:5" x14ac:dyDescent="0.3">
      <c r="A445" t="s">
        <v>261</v>
      </c>
      <c r="D445">
        <f>123</f>
        <v>123</v>
      </c>
      <c r="E445" t="s">
        <v>6</v>
      </c>
    </row>
    <row r="447" spans="1:5" x14ac:dyDescent="0.3">
      <c r="A447" t="s">
        <v>262</v>
      </c>
      <c r="D447" s="6">
        <f>102</f>
        <v>102</v>
      </c>
      <c r="E447" s="6" t="s">
        <v>6</v>
      </c>
    </row>
    <row r="448" spans="1:5" x14ac:dyDescent="0.3">
      <c r="D448">
        <f>SUM(D445:D447)</f>
        <v>225</v>
      </c>
      <c r="E448" t="s">
        <v>6</v>
      </c>
    </row>
  </sheetData>
  <mergeCells count="16">
    <mergeCell ref="AN331:AN332"/>
    <mergeCell ref="A29:B30"/>
    <mergeCell ref="A296:K298"/>
    <mergeCell ref="AM305:AS305"/>
    <mergeCell ref="AN324:AN326"/>
    <mergeCell ref="AN328:AN329"/>
    <mergeCell ref="A45:B46"/>
    <mergeCell ref="AD328:AD329"/>
    <mergeCell ref="AX305:BD305"/>
    <mergeCell ref="AY324:AY326"/>
    <mergeCell ref="AY328:AY329"/>
    <mergeCell ref="AY331:AY332"/>
    <mergeCell ref="BI305:BO305"/>
    <mergeCell ref="BJ324:BJ326"/>
    <mergeCell ref="BJ328:BJ329"/>
    <mergeCell ref="BJ331:BJ332"/>
  </mergeCells>
  <pageMargins left="0.7" right="0.7" top="0.75" bottom="0.75" header="0.3" footer="0.3"/>
  <pageSetup paperSize="1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771AC-C563-405D-A0BC-40E3091893A3}">
  <dimension ref="A1:J34"/>
  <sheetViews>
    <sheetView tabSelected="1" workbookViewId="0">
      <selection activeCell="I11" sqref="I11"/>
    </sheetView>
  </sheetViews>
  <sheetFormatPr defaultRowHeight="14.4" x14ac:dyDescent="0.3"/>
  <cols>
    <col min="1" max="4" width="12.33203125" customWidth="1"/>
    <col min="5" max="5" width="127.77734375" customWidth="1"/>
    <col min="6" max="7" width="12.33203125" customWidth="1"/>
    <col min="8" max="8" width="18.77734375" customWidth="1"/>
    <col min="9" max="10" width="12.33203125" customWidth="1"/>
  </cols>
  <sheetData>
    <row r="1" spans="1:10" ht="15" thickBot="1" x14ac:dyDescent="0.35">
      <c r="A1" s="183"/>
      <c r="B1" s="184"/>
      <c r="C1" s="184"/>
      <c r="D1" s="184"/>
      <c r="E1" s="118" t="s">
        <v>404</v>
      </c>
      <c r="F1" s="184" t="s">
        <v>402</v>
      </c>
      <c r="G1" s="184"/>
      <c r="H1" s="184"/>
      <c r="I1" s="184"/>
      <c r="J1" s="185"/>
    </row>
    <row r="2" spans="1:10" ht="15" thickBot="1" x14ac:dyDescent="0.35">
      <c r="A2" s="119" t="s">
        <v>264</v>
      </c>
      <c r="B2" s="120" t="s">
        <v>265</v>
      </c>
      <c r="C2" s="121" t="s">
        <v>266</v>
      </c>
      <c r="D2" s="122" t="s">
        <v>267</v>
      </c>
      <c r="E2" s="123" t="s">
        <v>268</v>
      </c>
      <c r="F2" s="124" t="s">
        <v>269</v>
      </c>
      <c r="G2" s="121" t="s">
        <v>270</v>
      </c>
      <c r="H2" s="121" t="s">
        <v>271</v>
      </c>
      <c r="I2" s="121" t="s">
        <v>272</v>
      </c>
      <c r="J2" s="125" t="s">
        <v>273</v>
      </c>
    </row>
    <row r="3" spans="1:10" x14ac:dyDescent="0.3">
      <c r="A3" s="126">
        <v>202</v>
      </c>
      <c r="B3" s="127">
        <v>11203</v>
      </c>
      <c r="C3" s="128" t="str">
        <f t="shared" ref="C3" si="0">IF(D3="LUMP","LS",IF(SUM(F3:I3)=0,"",(SUM(F3:I3))))</f>
        <v>LS</v>
      </c>
      <c r="D3" s="129" t="s">
        <v>274</v>
      </c>
      <c r="E3" s="130" t="s">
        <v>275</v>
      </c>
      <c r="F3" s="128" t="s">
        <v>274</v>
      </c>
      <c r="G3" s="128"/>
      <c r="H3" s="128" t="s">
        <v>274</v>
      </c>
      <c r="I3" s="128"/>
      <c r="J3" s="131">
        <v>11</v>
      </c>
    </row>
    <row r="4" spans="1:10" x14ac:dyDescent="0.3">
      <c r="A4" s="126">
        <v>510</v>
      </c>
      <c r="B4" s="127">
        <v>10001</v>
      </c>
      <c r="C4" s="134">
        <f t="shared" ref="C4" si="1">IF(D4="LUMP","LS",IF(SUM(F4:I4)=0,"",(SUM(F4:I4))))</f>
        <v>24</v>
      </c>
      <c r="D4" s="129" t="s">
        <v>0</v>
      </c>
      <c r="E4" s="130" t="s">
        <v>414</v>
      </c>
      <c r="F4" s="128">
        <v>24</v>
      </c>
      <c r="G4" s="128"/>
      <c r="H4" s="128"/>
      <c r="I4" s="128"/>
      <c r="J4" s="131">
        <v>12</v>
      </c>
    </row>
    <row r="5" spans="1:10" x14ac:dyDescent="0.3">
      <c r="A5" s="126">
        <v>511</v>
      </c>
      <c r="B5" s="127">
        <v>81300</v>
      </c>
      <c r="C5" s="134">
        <f t="shared" ref="C5:C6" si="2">IF(D5="LUMP","LS",IF(SUM(F5:I5)=0,"",(SUM(F5:I5))))</f>
        <v>12</v>
      </c>
      <c r="D5" s="129" t="s">
        <v>0</v>
      </c>
      <c r="E5" s="130" t="s">
        <v>444</v>
      </c>
      <c r="F5" s="128">
        <v>12</v>
      </c>
      <c r="G5" s="128"/>
      <c r="H5" s="128"/>
      <c r="I5" s="128"/>
      <c r="J5" s="131"/>
    </row>
    <row r="6" spans="1:10" x14ac:dyDescent="0.3">
      <c r="A6" s="126">
        <v>512</v>
      </c>
      <c r="B6" s="127">
        <v>10050</v>
      </c>
      <c r="C6" s="134">
        <f t="shared" si="2"/>
        <v>245</v>
      </c>
      <c r="D6" s="135" t="s">
        <v>279</v>
      </c>
      <c r="E6" s="130" t="s">
        <v>417</v>
      </c>
      <c r="F6" s="128"/>
      <c r="G6" s="128"/>
      <c r="H6" s="128">
        <v>217</v>
      </c>
      <c r="I6" s="128">
        <v>28</v>
      </c>
      <c r="J6" s="131"/>
    </row>
    <row r="7" spans="1:10" x14ac:dyDescent="0.3">
      <c r="A7" s="146">
        <v>512</v>
      </c>
      <c r="B7" s="133">
        <v>10100</v>
      </c>
      <c r="C7" s="134">
        <f t="shared" ref="C7" si="3">IF(D7="LUMP","LS",IF(SUM(F7:I7)=0,"",(SUM(F7:I7))))</f>
        <v>2281</v>
      </c>
      <c r="D7" s="135" t="s">
        <v>279</v>
      </c>
      <c r="E7" s="136" t="s">
        <v>408</v>
      </c>
      <c r="F7" s="134">
        <v>724</v>
      </c>
      <c r="G7" s="134">
        <v>370</v>
      </c>
      <c r="H7" s="134">
        <v>1149</v>
      </c>
      <c r="I7" s="134">
        <v>38</v>
      </c>
      <c r="J7" s="131">
        <v>12</v>
      </c>
    </row>
    <row r="8" spans="1:10" hidden="1" x14ac:dyDescent="0.3">
      <c r="A8" s="147" t="s">
        <v>280</v>
      </c>
      <c r="B8" s="133" t="s">
        <v>281</v>
      </c>
      <c r="C8" s="134">
        <f t="shared" ref="C8:C10" si="4">IF(D8="LUMP","LS",IF(SUM(F8:I8)=0,"",(SUM(F8:I8))))</f>
        <v>1575</v>
      </c>
      <c r="D8" s="135" t="s">
        <v>279</v>
      </c>
      <c r="E8" s="136" t="s">
        <v>282</v>
      </c>
      <c r="F8" s="134">
        <v>331</v>
      </c>
      <c r="G8" s="134"/>
      <c r="H8" s="134">
        <v>1244</v>
      </c>
      <c r="I8" s="134"/>
      <c r="J8" s="138"/>
    </row>
    <row r="9" spans="1:10" x14ac:dyDescent="0.3">
      <c r="A9" s="147" t="s">
        <v>280</v>
      </c>
      <c r="B9" s="133" t="s">
        <v>281</v>
      </c>
      <c r="C9" s="134">
        <f t="shared" si="4"/>
        <v>2281</v>
      </c>
      <c r="D9" s="135" t="s">
        <v>279</v>
      </c>
      <c r="E9" s="136" t="s">
        <v>282</v>
      </c>
      <c r="F9" s="134">
        <v>724</v>
      </c>
      <c r="G9" s="134">
        <v>370</v>
      </c>
      <c r="H9" s="134">
        <v>1149</v>
      </c>
      <c r="I9" s="134">
        <v>38</v>
      </c>
      <c r="J9" s="138"/>
    </row>
    <row r="10" spans="1:10" x14ac:dyDescent="0.3">
      <c r="A10" s="147">
        <v>513</v>
      </c>
      <c r="B10" s="133">
        <v>10200</v>
      </c>
      <c r="C10" s="134">
        <f t="shared" si="4"/>
        <v>912</v>
      </c>
      <c r="D10" s="135" t="s">
        <v>434</v>
      </c>
      <c r="E10" s="136" t="s">
        <v>435</v>
      </c>
      <c r="F10" s="134"/>
      <c r="G10" s="134"/>
      <c r="H10" s="134">
        <v>912</v>
      </c>
      <c r="I10" s="134"/>
      <c r="J10" s="138"/>
    </row>
    <row r="11" spans="1:10" x14ac:dyDescent="0.3">
      <c r="A11" s="132" t="s">
        <v>283</v>
      </c>
      <c r="B11" s="133">
        <v>95020</v>
      </c>
      <c r="C11" s="128" t="str">
        <f t="shared" ref="C11" si="5">IF(D11="LUMP","LS",IF(SUM(F11:I11)=0,"",(SUM(F11:I11))))</f>
        <v>LS</v>
      </c>
      <c r="D11" s="135" t="s">
        <v>274</v>
      </c>
      <c r="E11" s="136" t="s">
        <v>413</v>
      </c>
      <c r="F11" s="134"/>
      <c r="G11" s="134"/>
      <c r="H11" s="137" t="s">
        <v>274</v>
      </c>
      <c r="I11" s="134"/>
      <c r="J11" s="138">
        <v>12</v>
      </c>
    </row>
    <row r="12" spans="1:10" hidden="1" x14ac:dyDescent="0.3">
      <c r="A12" s="162" t="s">
        <v>283</v>
      </c>
      <c r="B12" s="148" t="s">
        <v>284</v>
      </c>
      <c r="C12" s="134">
        <f t="shared" ref="C12:C14" si="6">IF(D12="LUMP","LS",IF(SUM(F12:I12)=0,"",(SUM(F12:I12))))</f>
        <v>350</v>
      </c>
      <c r="D12" s="134" t="s">
        <v>0</v>
      </c>
      <c r="E12" s="149" t="s">
        <v>285</v>
      </c>
      <c r="F12" s="150"/>
      <c r="G12" s="151"/>
      <c r="H12" s="151">
        <v>350</v>
      </c>
      <c r="I12" s="151"/>
      <c r="J12" s="131" t="s">
        <v>276</v>
      </c>
    </row>
    <row r="13" spans="1:10" hidden="1" x14ac:dyDescent="0.3">
      <c r="A13" s="147">
        <v>513</v>
      </c>
      <c r="B13" s="133">
        <v>95030</v>
      </c>
      <c r="C13" s="134">
        <f t="shared" si="6"/>
        <v>6</v>
      </c>
      <c r="D13" s="135" t="s">
        <v>0</v>
      </c>
      <c r="E13" s="136" t="s">
        <v>286</v>
      </c>
      <c r="F13" s="134"/>
      <c r="G13" s="134"/>
      <c r="H13" s="134">
        <v>6</v>
      </c>
      <c r="I13" s="134"/>
      <c r="J13" s="131" t="s">
        <v>287</v>
      </c>
    </row>
    <row r="14" spans="1:10" hidden="1" x14ac:dyDescent="0.3">
      <c r="A14" s="147">
        <v>513</v>
      </c>
      <c r="B14" s="133">
        <v>95030</v>
      </c>
      <c r="C14" s="134">
        <f t="shared" si="6"/>
        <v>6</v>
      </c>
      <c r="D14" s="135" t="s">
        <v>0</v>
      </c>
      <c r="E14" s="136" t="s">
        <v>288</v>
      </c>
      <c r="F14" s="134"/>
      <c r="G14" s="134"/>
      <c r="H14" s="134">
        <v>6</v>
      </c>
      <c r="I14" s="134"/>
      <c r="J14" s="131" t="s">
        <v>276</v>
      </c>
    </row>
    <row r="15" spans="1:10" hidden="1" x14ac:dyDescent="0.3">
      <c r="A15" s="132"/>
      <c r="B15" s="133"/>
      <c r="C15" s="134"/>
      <c r="D15" s="135"/>
      <c r="E15" s="136"/>
      <c r="F15" s="134"/>
      <c r="G15" s="134"/>
      <c r="H15" s="137"/>
      <c r="I15" s="134"/>
      <c r="J15" s="138"/>
    </row>
    <row r="16" spans="1:10" x14ac:dyDescent="0.3">
      <c r="A16" s="132" t="s">
        <v>283</v>
      </c>
      <c r="B16" s="133">
        <v>95020</v>
      </c>
      <c r="C16" s="128" t="str">
        <f t="shared" ref="C16" si="7">IF(D16="LUMP","LS",IF(SUM(F16:I16)=0,"",(SUM(F16:I16))))</f>
        <v>LS</v>
      </c>
      <c r="D16" s="135" t="s">
        <v>274</v>
      </c>
      <c r="E16" s="136" t="s">
        <v>415</v>
      </c>
      <c r="F16" s="134"/>
      <c r="G16" s="134"/>
      <c r="H16" s="137" t="s">
        <v>274</v>
      </c>
      <c r="I16" s="134"/>
      <c r="J16" s="138">
        <v>12</v>
      </c>
    </row>
    <row r="17" spans="1:10" x14ac:dyDescent="0.3">
      <c r="A17" s="132"/>
      <c r="B17" s="133"/>
      <c r="C17" s="128"/>
      <c r="D17" s="135"/>
      <c r="E17" s="136"/>
      <c r="F17" s="134"/>
      <c r="G17" s="134"/>
      <c r="H17" s="137"/>
      <c r="I17" s="134"/>
      <c r="J17" s="138"/>
    </row>
    <row r="18" spans="1:10" x14ac:dyDescent="0.3">
      <c r="A18" s="132" t="s">
        <v>289</v>
      </c>
      <c r="B18" s="133">
        <v>50</v>
      </c>
      <c r="C18" s="134">
        <f t="shared" ref="C18:C33" si="8">IF(D18="LUMP","LS",IF(SUM(F18:I18)=0,"",(SUM(F18:I18))))</f>
        <v>52512</v>
      </c>
      <c r="D18" s="135" t="s">
        <v>11</v>
      </c>
      <c r="E18" s="136" t="s">
        <v>124</v>
      </c>
      <c r="F18" s="134"/>
      <c r="G18" s="137"/>
      <c r="H18" s="137">
        <v>52512</v>
      </c>
      <c r="I18" s="134"/>
      <c r="J18" s="138"/>
    </row>
    <row r="19" spans="1:10" x14ac:dyDescent="0.3">
      <c r="A19" s="132" t="s">
        <v>289</v>
      </c>
      <c r="B19" s="133">
        <v>56</v>
      </c>
      <c r="C19" s="134">
        <f t="shared" si="8"/>
        <v>52512</v>
      </c>
      <c r="D19" s="135" t="s">
        <v>11</v>
      </c>
      <c r="E19" s="136" t="s">
        <v>290</v>
      </c>
      <c r="F19" s="134"/>
      <c r="G19" s="137"/>
      <c r="H19" s="137">
        <v>52512</v>
      </c>
      <c r="I19" s="134"/>
      <c r="J19" s="138"/>
    </row>
    <row r="20" spans="1:10" x14ac:dyDescent="0.3">
      <c r="A20" s="132" t="s">
        <v>289</v>
      </c>
      <c r="B20" s="133">
        <v>60</v>
      </c>
      <c r="C20" s="134">
        <f t="shared" si="8"/>
        <v>52512</v>
      </c>
      <c r="D20" s="135" t="s">
        <v>11</v>
      </c>
      <c r="E20" s="136" t="s">
        <v>291</v>
      </c>
      <c r="F20" s="134"/>
      <c r="G20" s="137"/>
      <c r="H20" s="137">
        <v>52512</v>
      </c>
      <c r="I20" s="134"/>
      <c r="J20" s="138"/>
    </row>
    <row r="21" spans="1:10" x14ac:dyDescent="0.3">
      <c r="A21" s="132" t="s">
        <v>289</v>
      </c>
      <c r="B21" s="133">
        <v>66</v>
      </c>
      <c r="C21" s="134">
        <f t="shared" si="8"/>
        <v>52512</v>
      </c>
      <c r="D21" s="135" t="s">
        <v>11</v>
      </c>
      <c r="E21" s="136" t="s">
        <v>292</v>
      </c>
      <c r="F21" s="134"/>
      <c r="G21" s="137"/>
      <c r="H21" s="137">
        <v>52512</v>
      </c>
      <c r="I21" s="134"/>
      <c r="J21" s="138"/>
    </row>
    <row r="22" spans="1:10" x14ac:dyDescent="0.3">
      <c r="A22" s="132" t="s">
        <v>289</v>
      </c>
      <c r="B22" s="133">
        <v>504</v>
      </c>
      <c r="C22" s="134">
        <f t="shared" si="8"/>
        <v>39</v>
      </c>
      <c r="D22" s="135" t="s">
        <v>293</v>
      </c>
      <c r="E22" s="136" t="s">
        <v>107</v>
      </c>
      <c r="F22" s="134"/>
      <c r="G22" s="137"/>
      <c r="H22" s="137">
        <v>39</v>
      </c>
      <c r="I22" s="134"/>
      <c r="J22" s="138"/>
    </row>
    <row r="23" spans="1:10" x14ac:dyDescent="0.3">
      <c r="A23" s="132" t="s">
        <v>289</v>
      </c>
      <c r="B23" s="133">
        <v>10000</v>
      </c>
      <c r="C23" s="134">
        <f t="shared" si="8"/>
        <v>23</v>
      </c>
      <c r="D23" s="135" t="s">
        <v>0</v>
      </c>
      <c r="E23" s="136" t="s">
        <v>102</v>
      </c>
      <c r="F23" s="134"/>
      <c r="G23" s="134"/>
      <c r="H23" s="137">
        <v>23</v>
      </c>
      <c r="I23" s="134"/>
      <c r="J23" s="138"/>
    </row>
    <row r="24" spans="1:10" x14ac:dyDescent="0.3">
      <c r="A24" s="132"/>
      <c r="B24" s="133"/>
      <c r="C24" s="134"/>
      <c r="D24" s="135"/>
      <c r="E24" s="136"/>
      <c r="F24" s="134"/>
      <c r="G24" s="134"/>
      <c r="H24" s="137"/>
      <c r="I24" s="134"/>
      <c r="J24" s="138"/>
    </row>
    <row r="25" spans="1:10" hidden="1" x14ac:dyDescent="0.3">
      <c r="A25" s="132" t="s">
        <v>294</v>
      </c>
      <c r="B25" s="133">
        <v>1300</v>
      </c>
      <c r="C25" s="134">
        <f t="shared" ref="C25:C26" si="9">IF(D25="LUMP","LS",IF(SUM(F25:I25)=0,"",(SUM(F25:I25))))</f>
        <v>224</v>
      </c>
      <c r="D25" s="135" t="s">
        <v>6</v>
      </c>
      <c r="E25" s="136" t="s">
        <v>300</v>
      </c>
      <c r="F25" s="134"/>
      <c r="G25" s="134"/>
      <c r="H25" s="137">
        <v>224</v>
      </c>
      <c r="I25" s="134"/>
      <c r="J25" s="138"/>
    </row>
    <row r="26" spans="1:10" x14ac:dyDescent="0.3">
      <c r="A26" s="132" t="s">
        <v>294</v>
      </c>
      <c r="B26" s="133">
        <v>43300</v>
      </c>
      <c r="C26" s="134">
        <f t="shared" si="9"/>
        <v>12</v>
      </c>
      <c r="D26" s="135" t="s">
        <v>0</v>
      </c>
      <c r="E26" s="136" t="s">
        <v>442</v>
      </c>
      <c r="F26" s="134"/>
      <c r="G26" s="134"/>
      <c r="H26" s="137">
        <v>12</v>
      </c>
      <c r="I26" s="134"/>
      <c r="J26" s="138"/>
    </row>
    <row r="27" spans="1:10" x14ac:dyDescent="0.3">
      <c r="A27" s="146"/>
      <c r="B27" s="133"/>
      <c r="C27" s="134" t="str">
        <f t="shared" si="8"/>
        <v/>
      </c>
      <c r="D27" s="154"/>
      <c r="E27" s="136" t="s">
        <v>443</v>
      </c>
      <c r="F27" s="134"/>
      <c r="G27" s="134"/>
      <c r="H27" s="134"/>
      <c r="I27" s="134"/>
      <c r="J27" s="138"/>
    </row>
    <row r="28" spans="1:10" x14ac:dyDescent="0.3">
      <c r="A28" s="126">
        <v>516</v>
      </c>
      <c r="B28" s="128">
        <v>47001</v>
      </c>
      <c r="C28" s="128" t="str">
        <f t="shared" si="8"/>
        <v>LS</v>
      </c>
      <c r="D28" s="128" t="s">
        <v>274</v>
      </c>
      <c r="E28" s="152" t="s">
        <v>299</v>
      </c>
      <c r="F28" s="128"/>
      <c r="G28" s="128"/>
      <c r="H28" s="128" t="s">
        <v>274</v>
      </c>
      <c r="I28" s="128"/>
      <c r="J28" s="153">
        <v>12</v>
      </c>
    </row>
    <row r="29" spans="1:10" hidden="1" x14ac:dyDescent="0.3">
      <c r="A29" s="126">
        <v>518</v>
      </c>
      <c r="B29" s="128">
        <v>12500</v>
      </c>
      <c r="C29" s="128" t="str">
        <f t="shared" si="8"/>
        <v/>
      </c>
      <c r="D29" s="128" t="s">
        <v>0</v>
      </c>
      <c r="E29" s="152" t="s">
        <v>337</v>
      </c>
      <c r="F29" s="128"/>
      <c r="G29" s="128"/>
      <c r="H29" s="128"/>
      <c r="I29" s="128"/>
      <c r="J29" s="153">
        <v>9</v>
      </c>
    </row>
    <row r="30" spans="1:10" x14ac:dyDescent="0.3">
      <c r="A30" s="126">
        <v>519</v>
      </c>
      <c r="B30" s="169" t="s">
        <v>379</v>
      </c>
      <c r="C30" s="134">
        <f t="shared" si="8"/>
        <v>1152</v>
      </c>
      <c r="D30" s="128" t="s">
        <v>11</v>
      </c>
      <c r="E30" s="152" t="s">
        <v>372</v>
      </c>
      <c r="F30" s="128"/>
      <c r="G30" s="128">
        <v>1152</v>
      </c>
      <c r="H30" s="128"/>
      <c r="I30" s="128"/>
      <c r="J30" s="153">
        <v>12</v>
      </c>
    </row>
    <row r="31" spans="1:10" x14ac:dyDescent="0.3">
      <c r="A31" s="126">
        <v>519</v>
      </c>
      <c r="B31" s="128">
        <v>11101</v>
      </c>
      <c r="C31" s="128">
        <f t="shared" si="8"/>
        <v>241</v>
      </c>
      <c r="D31" s="128" t="s">
        <v>11</v>
      </c>
      <c r="E31" s="9" t="s">
        <v>349</v>
      </c>
      <c r="F31" s="128">
        <v>68</v>
      </c>
      <c r="G31" s="128">
        <v>150</v>
      </c>
      <c r="H31" s="128">
        <v>23</v>
      </c>
      <c r="I31" s="128"/>
      <c r="J31" s="153">
        <v>12</v>
      </c>
    </row>
    <row r="32" spans="1:10" x14ac:dyDescent="0.3">
      <c r="A32" s="146">
        <v>519</v>
      </c>
      <c r="B32" s="134">
        <v>12300</v>
      </c>
      <c r="C32" s="134">
        <f t="shared" si="8"/>
        <v>14</v>
      </c>
      <c r="D32" s="134" t="s">
        <v>279</v>
      </c>
      <c r="E32" s="9" t="s">
        <v>298</v>
      </c>
      <c r="F32" s="134">
        <v>14</v>
      </c>
      <c r="G32" s="134"/>
      <c r="H32" s="134"/>
      <c r="I32" s="134"/>
      <c r="J32" s="138"/>
    </row>
    <row r="33" spans="1:10" x14ac:dyDescent="0.3">
      <c r="A33" s="146">
        <v>844</v>
      </c>
      <c r="B33" s="134">
        <v>20001</v>
      </c>
      <c r="C33" s="134">
        <f t="shared" si="8"/>
        <v>15</v>
      </c>
      <c r="D33" s="134" t="s">
        <v>0</v>
      </c>
      <c r="E33" s="9" t="s">
        <v>428</v>
      </c>
      <c r="F33" s="134">
        <v>5</v>
      </c>
      <c r="G33" s="134">
        <v>10</v>
      </c>
      <c r="H33" s="134"/>
      <c r="I33" s="134"/>
      <c r="J33" s="138">
        <v>12</v>
      </c>
    </row>
    <row r="34" spans="1:10" ht="15" thickBot="1" x14ac:dyDescent="0.35">
      <c r="A34" s="163"/>
      <c r="B34" s="164"/>
      <c r="C34" s="164"/>
      <c r="D34" s="164"/>
      <c r="E34" s="164"/>
      <c r="F34" s="170"/>
      <c r="G34" s="170"/>
      <c r="H34" s="170"/>
      <c r="I34" s="170"/>
      <c r="J34" s="171"/>
    </row>
  </sheetData>
  <mergeCells count="2">
    <mergeCell ref="A1:D1"/>
    <mergeCell ref="F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67D0-0F22-4553-8EEC-638A61450112}">
  <dimension ref="A1:BR514"/>
  <sheetViews>
    <sheetView topLeftCell="A114" workbookViewId="0">
      <selection activeCell="F125" sqref="F125"/>
    </sheetView>
  </sheetViews>
  <sheetFormatPr defaultRowHeight="14.4" x14ac:dyDescent="0.3"/>
  <cols>
    <col min="1" max="1" width="12.5546875" customWidth="1"/>
    <col min="2" max="2" width="22.44140625" customWidth="1"/>
    <col min="3" max="3" width="21.5546875" customWidth="1"/>
    <col min="4" max="4" width="22" customWidth="1"/>
    <col min="5" max="5" width="10.6640625" customWidth="1"/>
    <col min="9" max="9" width="12.88671875" customWidth="1"/>
    <col min="10" max="10" width="10.44140625" customWidth="1"/>
    <col min="12" max="12" width="12.88671875" customWidth="1"/>
    <col min="13" max="13" width="12.109375" customWidth="1"/>
    <col min="14" max="14" width="14.44140625" customWidth="1"/>
    <col min="15" max="15" width="14" customWidth="1"/>
    <col min="16" max="28" width="12.88671875" customWidth="1"/>
    <col min="30" max="31" width="13.44140625" customWidth="1"/>
    <col min="32" max="32" width="11" customWidth="1"/>
    <col min="40" max="40" width="14.44140625" customWidth="1"/>
    <col min="51" max="51" width="17.33203125" customWidth="1"/>
    <col min="62" max="62" width="16.5546875" customWidth="1"/>
  </cols>
  <sheetData>
    <row r="1" spans="1:4" x14ac:dyDescent="0.3">
      <c r="A1" s="2" t="s">
        <v>219</v>
      </c>
    </row>
    <row r="3" spans="1:4" x14ac:dyDescent="0.3">
      <c r="A3" t="s">
        <v>218</v>
      </c>
      <c r="C3">
        <v>0</v>
      </c>
    </row>
    <row r="4" spans="1:4" x14ac:dyDescent="0.3">
      <c r="A4" t="s">
        <v>217</v>
      </c>
      <c r="C4">
        <v>12</v>
      </c>
    </row>
    <row r="5" spans="1:4" x14ac:dyDescent="0.3">
      <c r="A5" t="s">
        <v>216</v>
      </c>
      <c r="C5" s="6">
        <v>12</v>
      </c>
    </row>
    <row r="6" spans="1:4" x14ac:dyDescent="0.3">
      <c r="C6" s="3">
        <f>SUM(C3:C5)</f>
        <v>24</v>
      </c>
      <c r="D6" t="s">
        <v>0</v>
      </c>
    </row>
    <row r="8" spans="1:4" x14ac:dyDescent="0.3">
      <c r="A8" s="2" t="s">
        <v>445</v>
      </c>
    </row>
    <row r="9" spans="1:4" x14ac:dyDescent="0.3">
      <c r="A9" t="s">
        <v>24</v>
      </c>
      <c r="C9">
        <v>6</v>
      </c>
      <c r="D9" t="s">
        <v>0</v>
      </c>
    </row>
    <row r="11" spans="1:4" x14ac:dyDescent="0.3">
      <c r="A11" t="s">
        <v>23</v>
      </c>
      <c r="C11" s="6">
        <v>6</v>
      </c>
      <c r="D11" s="6" t="s">
        <v>0</v>
      </c>
    </row>
    <row r="12" spans="1:4" x14ac:dyDescent="0.3">
      <c r="C12" s="3">
        <f>SUM(C9:C11)</f>
        <v>12</v>
      </c>
      <c r="D12" s="3" t="s">
        <v>0</v>
      </c>
    </row>
    <row r="15" spans="1:4" x14ac:dyDescent="0.3">
      <c r="A15" s="2" t="s">
        <v>215</v>
      </c>
    </row>
    <row r="16" spans="1:4" x14ac:dyDescent="0.3">
      <c r="A16" s="5"/>
    </row>
    <row r="17" spans="1:5" x14ac:dyDescent="0.3">
      <c r="A17" s="1" t="s">
        <v>201</v>
      </c>
    </row>
    <row r="18" spans="1:5" x14ac:dyDescent="0.3">
      <c r="A18" t="s">
        <v>200</v>
      </c>
      <c r="D18">
        <v>4.37</v>
      </c>
      <c r="E18" t="s">
        <v>11</v>
      </c>
    </row>
    <row r="19" spans="1:5" x14ac:dyDescent="0.3">
      <c r="A19" t="s">
        <v>199</v>
      </c>
      <c r="D19">
        <v>876.2</v>
      </c>
      <c r="E19" t="s">
        <v>6</v>
      </c>
    </row>
    <row r="20" spans="1:5" x14ac:dyDescent="0.3">
      <c r="A20" t="s">
        <v>198</v>
      </c>
      <c r="D20">
        <v>0</v>
      </c>
      <c r="E20" t="s">
        <v>0</v>
      </c>
    </row>
    <row r="21" spans="1:5" x14ac:dyDescent="0.3">
      <c r="A21" t="s">
        <v>189</v>
      </c>
      <c r="D21">
        <f>D18*D19*D20</f>
        <v>0</v>
      </c>
      <c r="E21" t="s">
        <v>214</v>
      </c>
    </row>
    <row r="22" spans="1:5" x14ac:dyDescent="0.3">
      <c r="D22">
        <f>ROUNDUP(D21/27,0)</f>
        <v>0</v>
      </c>
      <c r="E22" t="s">
        <v>187</v>
      </c>
    </row>
    <row r="24" spans="1:5" x14ac:dyDescent="0.3">
      <c r="A24" s="1" t="s">
        <v>213</v>
      </c>
    </row>
    <row r="26" spans="1:5" x14ac:dyDescent="0.3">
      <c r="A26" t="s">
        <v>211</v>
      </c>
      <c r="D26">
        <v>0</v>
      </c>
      <c r="E26" t="s">
        <v>6</v>
      </c>
    </row>
    <row r="27" spans="1:5" x14ac:dyDescent="0.3">
      <c r="A27" t="s">
        <v>35</v>
      </c>
      <c r="D27">
        <v>42</v>
      </c>
      <c r="E27" t="s">
        <v>6</v>
      </c>
    </row>
    <row r="28" spans="1:5" x14ac:dyDescent="0.3">
      <c r="A28" t="s">
        <v>210</v>
      </c>
      <c r="D28">
        <v>9</v>
      </c>
      <c r="E28" t="s">
        <v>206</v>
      </c>
    </row>
    <row r="29" spans="1:5" x14ac:dyDescent="0.3">
      <c r="A29" t="s">
        <v>209</v>
      </c>
      <c r="D29">
        <v>2.5</v>
      </c>
      <c r="E29" t="s">
        <v>206</v>
      </c>
    </row>
    <row r="30" spans="1:5" x14ac:dyDescent="0.3">
      <c r="A30" t="s">
        <v>208</v>
      </c>
      <c r="D30">
        <v>11.55</v>
      </c>
      <c r="E30" t="s">
        <v>206</v>
      </c>
    </row>
    <row r="31" spans="1:5" x14ac:dyDescent="0.3">
      <c r="A31" s="188" t="s">
        <v>207</v>
      </c>
      <c r="B31" s="188"/>
    </row>
    <row r="32" spans="1:5" x14ac:dyDescent="0.3">
      <c r="A32" s="188"/>
      <c r="B32" s="188"/>
      <c r="D32">
        <v>2.5</v>
      </c>
      <c r="E32" t="s">
        <v>206</v>
      </c>
    </row>
    <row r="33" spans="1:5" x14ac:dyDescent="0.3">
      <c r="A33" t="s">
        <v>205</v>
      </c>
      <c r="D33">
        <v>2</v>
      </c>
      <c r="E33" t="s">
        <v>6</v>
      </c>
    </row>
    <row r="34" spans="1:5" x14ac:dyDescent="0.3">
      <c r="A34" t="s">
        <v>204</v>
      </c>
      <c r="D34">
        <v>1.333</v>
      </c>
      <c r="E34" t="s">
        <v>6</v>
      </c>
    </row>
    <row r="36" spans="1:5" x14ac:dyDescent="0.3">
      <c r="A36" t="s">
        <v>203</v>
      </c>
      <c r="D36">
        <f>(D26*D27*(D30/12))+(3*(D26*(D28/12+D34)*D29/12))+(2*(D26*(D28/12+D33+(D34/(2*12))*D32)))</f>
        <v>0</v>
      </c>
      <c r="E36" t="s">
        <v>188</v>
      </c>
    </row>
    <row r="37" spans="1:5" x14ac:dyDescent="0.3">
      <c r="D37">
        <f>D36/27</f>
        <v>0</v>
      </c>
      <c r="E37" t="s">
        <v>187</v>
      </c>
    </row>
    <row r="40" spans="1:5" x14ac:dyDescent="0.3">
      <c r="A40" s="1" t="s">
        <v>212</v>
      </c>
    </row>
    <row r="42" spans="1:5" x14ac:dyDescent="0.3">
      <c r="A42" t="s">
        <v>211</v>
      </c>
      <c r="D42">
        <v>0</v>
      </c>
      <c r="E42" t="s">
        <v>6</v>
      </c>
    </row>
    <row r="43" spans="1:5" x14ac:dyDescent="0.3">
      <c r="A43" t="s">
        <v>35</v>
      </c>
      <c r="D43">
        <v>42</v>
      </c>
      <c r="E43" t="s">
        <v>6</v>
      </c>
    </row>
    <row r="44" spans="1:5" x14ac:dyDescent="0.3">
      <c r="A44" t="s">
        <v>210</v>
      </c>
      <c r="D44">
        <v>9</v>
      </c>
      <c r="E44" t="s">
        <v>206</v>
      </c>
    </row>
    <row r="45" spans="1:5" ht="15" customHeight="1" x14ac:dyDescent="0.3">
      <c r="A45" t="s">
        <v>209</v>
      </c>
      <c r="D45">
        <v>2.5</v>
      </c>
      <c r="E45" t="s">
        <v>206</v>
      </c>
    </row>
    <row r="46" spans="1:5" x14ac:dyDescent="0.3">
      <c r="A46" t="s">
        <v>208</v>
      </c>
      <c r="D46">
        <v>11.55</v>
      </c>
      <c r="E46" t="s">
        <v>206</v>
      </c>
    </row>
    <row r="47" spans="1:5" x14ac:dyDescent="0.3">
      <c r="A47" s="188" t="s">
        <v>207</v>
      </c>
      <c r="B47" s="188"/>
    </row>
    <row r="48" spans="1:5" x14ac:dyDescent="0.3">
      <c r="A48" s="188"/>
      <c r="B48" s="188"/>
      <c r="D48">
        <v>2.5</v>
      </c>
      <c r="E48" t="s">
        <v>206</v>
      </c>
    </row>
    <row r="49" spans="1:5" x14ac:dyDescent="0.3">
      <c r="A49" t="s">
        <v>205</v>
      </c>
      <c r="D49">
        <v>2</v>
      </c>
      <c r="E49" t="s">
        <v>6</v>
      </c>
    </row>
    <row r="50" spans="1:5" x14ac:dyDescent="0.3">
      <c r="A50" t="s">
        <v>204</v>
      </c>
      <c r="D50">
        <v>1.333</v>
      </c>
      <c r="E50" t="s">
        <v>6</v>
      </c>
    </row>
    <row r="52" spans="1:5" x14ac:dyDescent="0.3">
      <c r="A52" t="s">
        <v>203</v>
      </c>
      <c r="D52">
        <f>(D42*D43*(D46/12))+(3*(D42*(D44/12+D50)*D45/12))+(2*(D42*(D44/12+D49+(D50/(2*12))*D48)))</f>
        <v>0</v>
      </c>
      <c r="E52" t="s">
        <v>188</v>
      </c>
    </row>
    <row r="53" spans="1:5" x14ac:dyDescent="0.3">
      <c r="D53">
        <f>D52/27</f>
        <v>0</v>
      </c>
      <c r="E53" t="s">
        <v>187</v>
      </c>
    </row>
    <row r="55" spans="1:5" x14ac:dyDescent="0.3">
      <c r="A55" s="3" t="s">
        <v>133</v>
      </c>
      <c r="B55" s="3"/>
      <c r="C55" s="3"/>
      <c r="D55" s="3">
        <f>ROUNDUP(D22+D37+D53,0)</f>
        <v>0</v>
      </c>
      <c r="E55" s="3" t="s">
        <v>187</v>
      </c>
    </row>
    <row r="57" spans="1:5" x14ac:dyDescent="0.3">
      <c r="A57" s="2" t="s">
        <v>202</v>
      </c>
    </row>
    <row r="59" spans="1:5" x14ac:dyDescent="0.3">
      <c r="A59" s="1" t="s">
        <v>201</v>
      </c>
    </row>
    <row r="60" spans="1:5" x14ac:dyDescent="0.3">
      <c r="A60" t="s">
        <v>200</v>
      </c>
      <c r="D60">
        <f>2*1.5</f>
        <v>3</v>
      </c>
      <c r="E60" t="s">
        <v>11</v>
      </c>
    </row>
    <row r="61" spans="1:5" x14ac:dyDescent="0.3">
      <c r="A61" t="s">
        <v>199</v>
      </c>
      <c r="D61">
        <v>10</v>
      </c>
      <c r="E61" t="s">
        <v>6</v>
      </c>
    </row>
    <row r="62" spans="1:5" x14ac:dyDescent="0.3">
      <c r="A62" t="s">
        <v>198</v>
      </c>
      <c r="D62">
        <v>1</v>
      </c>
      <c r="E62" t="s">
        <v>0</v>
      </c>
    </row>
    <row r="63" spans="1:5" x14ac:dyDescent="0.3">
      <c r="A63" t="s">
        <v>197</v>
      </c>
      <c r="D63">
        <v>2</v>
      </c>
      <c r="E63" t="s">
        <v>196</v>
      </c>
    </row>
    <row r="64" spans="1:5" x14ac:dyDescent="0.3">
      <c r="A64" t="s">
        <v>195</v>
      </c>
      <c r="D64">
        <v>0</v>
      </c>
      <c r="E64" t="s">
        <v>0</v>
      </c>
    </row>
    <row r="66" spans="1:5" x14ac:dyDescent="0.3">
      <c r="A66" t="s">
        <v>189</v>
      </c>
      <c r="D66">
        <f>(D60*D61*D62/27)+(D63*D64)</f>
        <v>1.1111111111111112</v>
      </c>
      <c r="E66" t="s">
        <v>187</v>
      </c>
    </row>
    <row r="69" spans="1:5" x14ac:dyDescent="0.3">
      <c r="A69" s="1" t="s">
        <v>194</v>
      </c>
    </row>
    <row r="71" spans="1:5" x14ac:dyDescent="0.3">
      <c r="A71" t="s">
        <v>192</v>
      </c>
      <c r="D71">
        <v>1.25</v>
      </c>
      <c r="E71" t="s">
        <v>6</v>
      </c>
    </row>
    <row r="72" spans="1:5" x14ac:dyDescent="0.3">
      <c r="A72" t="s">
        <v>191</v>
      </c>
      <c r="D72">
        <v>0</v>
      </c>
      <c r="E72" t="s">
        <v>6</v>
      </c>
    </row>
    <row r="73" spans="1:5" x14ac:dyDescent="0.3">
      <c r="A73" t="s">
        <v>190</v>
      </c>
      <c r="D73">
        <v>1.7</v>
      </c>
      <c r="E73" t="s">
        <v>6</v>
      </c>
    </row>
    <row r="75" spans="1:5" x14ac:dyDescent="0.3">
      <c r="A75" t="s">
        <v>189</v>
      </c>
      <c r="D75">
        <f>D71*D72*D73</f>
        <v>0</v>
      </c>
      <c r="E75" t="s">
        <v>188</v>
      </c>
    </row>
    <row r="76" spans="1:5" x14ac:dyDescent="0.3">
      <c r="D76">
        <f>D75/27</f>
        <v>0</v>
      </c>
      <c r="E76" t="s">
        <v>187</v>
      </c>
    </row>
    <row r="78" spans="1:5" x14ac:dyDescent="0.3">
      <c r="A78" s="1" t="s">
        <v>193</v>
      </c>
    </row>
    <row r="80" spans="1:5" x14ac:dyDescent="0.3">
      <c r="A80" t="s">
        <v>192</v>
      </c>
      <c r="D80">
        <v>1.25</v>
      </c>
      <c r="E80" t="s">
        <v>6</v>
      </c>
    </row>
    <row r="81" spans="1:6" x14ac:dyDescent="0.3">
      <c r="A81" t="s">
        <v>191</v>
      </c>
      <c r="D81">
        <v>0</v>
      </c>
      <c r="E81" t="s">
        <v>6</v>
      </c>
    </row>
    <row r="82" spans="1:6" x14ac:dyDescent="0.3">
      <c r="A82" t="s">
        <v>190</v>
      </c>
      <c r="D82">
        <v>1.7</v>
      </c>
      <c r="E82" t="s">
        <v>6</v>
      </c>
    </row>
    <row r="84" spans="1:6" x14ac:dyDescent="0.3">
      <c r="A84" t="s">
        <v>189</v>
      </c>
      <c r="D84">
        <f>D80*D81*D82</f>
        <v>0</v>
      </c>
      <c r="E84" t="s">
        <v>188</v>
      </c>
    </row>
    <row r="85" spans="1:6" x14ac:dyDescent="0.3">
      <c r="D85">
        <f>D84/27</f>
        <v>0</v>
      </c>
      <c r="E85" t="s">
        <v>187</v>
      </c>
    </row>
    <row r="86" spans="1:6" x14ac:dyDescent="0.3">
      <c r="F86">
        <v>0</v>
      </c>
    </row>
    <row r="87" spans="1:6" x14ac:dyDescent="0.3">
      <c r="A87" s="3" t="s">
        <v>21</v>
      </c>
      <c r="B87" s="3"/>
      <c r="C87" s="3"/>
      <c r="D87" s="3">
        <f>ROUNDUP((D66+D76+D85),0)</f>
        <v>2</v>
      </c>
      <c r="E87" s="3" t="s">
        <v>187</v>
      </c>
    </row>
    <row r="91" spans="1:6" x14ac:dyDescent="0.3">
      <c r="A91" s="107" t="s">
        <v>419</v>
      </c>
      <c r="B91" s="1"/>
      <c r="C91" s="1"/>
      <c r="D91" s="1"/>
      <c r="E91" s="1"/>
    </row>
    <row r="92" spans="1:6" x14ac:dyDescent="0.3">
      <c r="A92" s="107"/>
      <c r="B92" s="1"/>
      <c r="C92" s="1"/>
      <c r="D92" s="1"/>
      <c r="E92" s="1"/>
    </row>
    <row r="93" spans="1:6" x14ac:dyDescent="0.3">
      <c r="A93" s="6" t="s">
        <v>447</v>
      </c>
      <c r="B93" s="6"/>
    </row>
    <row r="94" spans="1:6" x14ac:dyDescent="0.3">
      <c r="A94" t="s">
        <v>169</v>
      </c>
      <c r="D94">
        <v>390.3</v>
      </c>
      <c r="E94" t="s">
        <v>6</v>
      </c>
    </row>
    <row r="95" spans="1:6" x14ac:dyDescent="0.3">
      <c r="A95" t="s">
        <v>448</v>
      </c>
      <c r="D95">
        <v>5</v>
      </c>
      <c r="E95" t="s">
        <v>6</v>
      </c>
    </row>
    <row r="96" spans="1:6" x14ac:dyDescent="0.3">
      <c r="A96" t="s">
        <v>167</v>
      </c>
      <c r="D96">
        <v>1</v>
      </c>
    </row>
    <row r="97" spans="1:5" x14ac:dyDescent="0.3">
      <c r="D97">
        <f>D94*D95*D96</f>
        <v>1951.5</v>
      </c>
      <c r="E97" t="s">
        <v>3</v>
      </c>
    </row>
    <row r="98" spans="1:5" x14ac:dyDescent="0.3">
      <c r="D98" s="8">
        <f>D97/9</f>
        <v>216.83333333333334</v>
      </c>
      <c r="E98" t="s">
        <v>2</v>
      </c>
    </row>
    <row r="100" spans="1:5" x14ac:dyDescent="0.3">
      <c r="A100" t="s">
        <v>422</v>
      </c>
    </row>
    <row r="101" spans="1:5" x14ac:dyDescent="0.3">
      <c r="A101" t="s">
        <v>169</v>
      </c>
      <c r="D101">
        <f>25+25</f>
        <v>50</v>
      </c>
      <c r="E101" t="s">
        <v>6</v>
      </c>
    </row>
    <row r="102" spans="1:5" x14ac:dyDescent="0.3">
      <c r="A102" t="s">
        <v>448</v>
      </c>
      <c r="D102">
        <v>5</v>
      </c>
      <c r="E102" t="s">
        <v>6</v>
      </c>
    </row>
    <row r="103" spans="1:5" x14ac:dyDescent="0.3">
      <c r="A103" t="s">
        <v>167</v>
      </c>
      <c r="D103">
        <v>1</v>
      </c>
    </row>
    <row r="104" spans="1:5" x14ac:dyDescent="0.3">
      <c r="D104">
        <f>D101*D102*D103</f>
        <v>250</v>
      </c>
      <c r="E104" t="s">
        <v>3</v>
      </c>
    </row>
    <row r="105" spans="1:5" x14ac:dyDescent="0.3">
      <c r="D105" s="8">
        <f>D104/9</f>
        <v>27.777777777777779</v>
      </c>
      <c r="E105" t="s">
        <v>2</v>
      </c>
    </row>
    <row r="107" spans="1:5" x14ac:dyDescent="0.3">
      <c r="A107" t="s">
        <v>452</v>
      </c>
      <c r="D107" s="8">
        <f>D98+D105</f>
        <v>244.61111111111111</v>
      </c>
      <c r="E107" t="s">
        <v>2</v>
      </c>
    </row>
    <row r="109" spans="1:5" x14ac:dyDescent="0.3">
      <c r="D109" s="8"/>
    </row>
    <row r="110" spans="1:5" x14ac:dyDescent="0.3">
      <c r="B110" s="1"/>
      <c r="C110" s="1"/>
      <c r="D110" s="1"/>
      <c r="E110" s="1"/>
    </row>
    <row r="111" spans="1:5" x14ac:dyDescent="0.3">
      <c r="A111" s="107" t="s">
        <v>418</v>
      </c>
      <c r="B111" s="1"/>
      <c r="C111" s="1"/>
      <c r="D111" s="1"/>
      <c r="E111" s="1"/>
    </row>
    <row r="112" spans="1:5" x14ac:dyDescent="0.3">
      <c r="A112" s="5"/>
    </row>
    <row r="113" spans="1:6" x14ac:dyDescent="0.3">
      <c r="A113" s="6" t="s">
        <v>170</v>
      </c>
      <c r="B113" s="6"/>
    </row>
    <row r="114" spans="1:6" x14ac:dyDescent="0.3">
      <c r="A114" t="s">
        <v>169</v>
      </c>
      <c r="D114">
        <v>390.3</v>
      </c>
      <c r="E114" t="s">
        <v>6</v>
      </c>
    </row>
    <row r="115" spans="1:6" x14ac:dyDescent="0.3">
      <c r="A115" t="s">
        <v>168</v>
      </c>
      <c r="D115">
        <f>2.666+1.5+2.666+1+2</f>
        <v>9.8320000000000007</v>
      </c>
      <c r="E115" t="s">
        <v>6</v>
      </c>
    </row>
    <row r="116" spans="1:6" x14ac:dyDescent="0.3">
      <c r="A116" t="s">
        <v>167</v>
      </c>
      <c r="D116">
        <v>2</v>
      </c>
    </row>
    <row r="117" spans="1:6" x14ac:dyDescent="0.3">
      <c r="A117" t="s">
        <v>166</v>
      </c>
      <c r="D117">
        <f>D114*D115*D116</f>
        <v>7674.8592000000008</v>
      </c>
      <c r="E117" t="s">
        <v>3</v>
      </c>
    </row>
    <row r="118" spans="1:6" x14ac:dyDescent="0.3">
      <c r="D118" s="8">
        <f>D117/9</f>
        <v>852.7621333333334</v>
      </c>
      <c r="E118" t="s">
        <v>2</v>
      </c>
    </row>
    <row r="119" spans="1:6" x14ac:dyDescent="0.3">
      <c r="D119" s="8"/>
    </row>
    <row r="120" spans="1:6" x14ac:dyDescent="0.3">
      <c r="A120" t="s">
        <v>454</v>
      </c>
      <c r="D120">
        <f>2.666+1.5+2.666</f>
        <v>6.8320000000000007</v>
      </c>
      <c r="E120" t="s">
        <v>6</v>
      </c>
    </row>
    <row r="121" spans="1:6" x14ac:dyDescent="0.3">
      <c r="A121" t="s">
        <v>449</v>
      </c>
      <c r="D121">
        <f>390.3</f>
        <v>390.3</v>
      </c>
      <c r="E121" t="s">
        <v>6</v>
      </c>
    </row>
    <row r="122" spans="1:6" x14ac:dyDescent="0.3">
      <c r="A122" t="s">
        <v>167</v>
      </c>
      <c r="D122">
        <v>1</v>
      </c>
    </row>
    <row r="123" spans="1:6" x14ac:dyDescent="0.3">
      <c r="A123" t="s">
        <v>166</v>
      </c>
      <c r="D123">
        <f>D121*D120*D122</f>
        <v>2666.5296000000003</v>
      </c>
      <c r="E123" t="s">
        <v>3</v>
      </c>
    </row>
    <row r="124" spans="1:6" x14ac:dyDescent="0.3">
      <c r="D124" s="8">
        <f>D123/9</f>
        <v>296.28106666666667</v>
      </c>
      <c r="E124" t="s">
        <v>2</v>
      </c>
      <c r="F124" s="8">
        <f>D118+D124</f>
        <v>1149.0432000000001</v>
      </c>
    </row>
    <row r="125" spans="1:6" x14ac:dyDescent="0.3">
      <c r="D125" s="8"/>
    </row>
    <row r="126" spans="1:6" x14ac:dyDescent="0.3">
      <c r="A126" t="s">
        <v>455</v>
      </c>
      <c r="D126">
        <f>2.666+1.5+2.666</f>
        <v>6.8320000000000007</v>
      </c>
      <c r="E126" t="s">
        <v>6</v>
      </c>
    </row>
    <row r="127" spans="1:6" x14ac:dyDescent="0.3">
      <c r="A127" t="s">
        <v>453</v>
      </c>
      <c r="D127">
        <f>25+25</f>
        <v>50</v>
      </c>
      <c r="E127" t="s">
        <v>6</v>
      </c>
    </row>
    <row r="128" spans="1:6" x14ac:dyDescent="0.3">
      <c r="A128" t="s">
        <v>167</v>
      </c>
      <c r="D128">
        <v>1</v>
      </c>
    </row>
    <row r="129" spans="1:5" x14ac:dyDescent="0.3">
      <c r="A129" t="s">
        <v>166</v>
      </c>
      <c r="D129">
        <f>D127*D126*D128</f>
        <v>341.6</v>
      </c>
      <c r="E129" t="s">
        <v>3</v>
      </c>
    </row>
    <row r="130" spans="1:5" x14ac:dyDescent="0.3">
      <c r="D130" s="8">
        <f>D129/9</f>
        <v>37.955555555555556</v>
      </c>
      <c r="E130" t="s">
        <v>2</v>
      </c>
    </row>
    <row r="131" spans="1:5" x14ac:dyDescent="0.3">
      <c r="D131" s="8"/>
    </row>
    <row r="132" spans="1:5" x14ac:dyDescent="0.3">
      <c r="D132" s="8"/>
    </row>
    <row r="133" spans="1:5" x14ac:dyDescent="0.3">
      <c r="A133" t="s">
        <v>450</v>
      </c>
      <c r="D133" s="8">
        <f>D118+D124+D130</f>
        <v>1186.9987555555556</v>
      </c>
      <c r="E133" t="s">
        <v>2</v>
      </c>
    </row>
    <row r="135" spans="1:5" x14ac:dyDescent="0.3">
      <c r="A135" s="1" t="s">
        <v>185</v>
      </c>
    </row>
    <row r="136" spans="1:5" x14ac:dyDescent="0.3">
      <c r="A136" t="s">
        <v>184</v>
      </c>
      <c r="D136">
        <v>3</v>
      </c>
    </row>
    <row r="137" spans="1:5" x14ac:dyDescent="0.3">
      <c r="A137" t="s">
        <v>183</v>
      </c>
      <c r="D137">
        <v>3</v>
      </c>
      <c r="E137" t="s">
        <v>6</v>
      </c>
    </row>
    <row r="138" spans="1:5" x14ac:dyDescent="0.3">
      <c r="A138" t="s">
        <v>358</v>
      </c>
      <c r="D138">
        <v>14</v>
      </c>
      <c r="E138" t="s">
        <v>6</v>
      </c>
    </row>
    <row r="139" spans="1:5" x14ac:dyDescent="0.3">
      <c r="A139" t="s">
        <v>182</v>
      </c>
      <c r="D139">
        <f>D137*3</f>
        <v>9</v>
      </c>
      <c r="E139" t="s">
        <v>3</v>
      </c>
    </row>
    <row r="140" spans="1:5" x14ac:dyDescent="0.3">
      <c r="A140" t="s">
        <v>181</v>
      </c>
      <c r="D140">
        <v>2</v>
      </c>
    </row>
    <row r="142" spans="1:5" x14ac:dyDescent="0.3">
      <c r="A142" t="s">
        <v>180</v>
      </c>
      <c r="D142">
        <f>D137*D138</f>
        <v>42</v>
      </c>
      <c r="E142" t="s">
        <v>3</v>
      </c>
    </row>
    <row r="143" spans="1:5" x14ac:dyDescent="0.3">
      <c r="A143" t="s">
        <v>179</v>
      </c>
      <c r="D143">
        <v>1</v>
      </c>
    </row>
    <row r="145" spans="1:5" x14ac:dyDescent="0.3">
      <c r="A145" t="s">
        <v>178</v>
      </c>
      <c r="D145">
        <f>D138*(3+4)/2</f>
        <v>49</v>
      </c>
      <c r="E145" t="s">
        <v>3</v>
      </c>
    </row>
    <row r="146" spans="1:5" x14ac:dyDescent="0.3">
      <c r="A146" t="s">
        <v>177</v>
      </c>
      <c r="D146">
        <v>2</v>
      </c>
    </row>
    <row r="148" spans="1:5" x14ac:dyDescent="0.3">
      <c r="A148" t="s">
        <v>176</v>
      </c>
    </row>
    <row r="149" spans="1:5" x14ac:dyDescent="0.3">
      <c r="A149" t="s">
        <v>175</v>
      </c>
      <c r="D149">
        <v>0</v>
      </c>
      <c r="E149" t="s">
        <v>33</v>
      </c>
    </row>
    <row r="150" spans="1:5" x14ac:dyDescent="0.3">
      <c r="A150" t="s">
        <v>174</v>
      </c>
      <c r="D150" s="8">
        <f>4/COS(D149*PI()/180)</f>
        <v>4</v>
      </c>
      <c r="E150" t="s">
        <v>6</v>
      </c>
    </row>
    <row r="151" spans="1:5" x14ac:dyDescent="0.3">
      <c r="A151" t="s">
        <v>173</v>
      </c>
      <c r="D151" s="8">
        <f>D137*D150</f>
        <v>12</v>
      </c>
      <c r="E151" t="s">
        <v>3</v>
      </c>
    </row>
    <row r="152" spans="1:5" x14ac:dyDescent="0.3">
      <c r="A152" t="s">
        <v>172</v>
      </c>
      <c r="D152">
        <v>2</v>
      </c>
    </row>
    <row r="154" spans="1:5" x14ac:dyDescent="0.3">
      <c r="A154" t="s">
        <v>145</v>
      </c>
      <c r="D154">
        <f>D136*(D139*D140+D142*D143+D145*D146+D151*D152)</f>
        <v>546</v>
      </c>
      <c r="E154" t="s">
        <v>3</v>
      </c>
    </row>
    <row r="155" spans="1:5" x14ac:dyDescent="0.3">
      <c r="D155">
        <f>D154/9</f>
        <v>60.666666666666664</v>
      </c>
      <c r="E155" t="s">
        <v>2</v>
      </c>
    </row>
    <row r="157" spans="1:5" x14ac:dyDescent="0.3">
      <c r="A157" s="1" t="s">
        <v>351</v>
      </c>
    </row>
    <row r="158" spans="1:5" x14ac:dyDescent="0.3">
      <c r="A158" t="s">
        <v>383</v>
      </c>
      <c r="D158">
        <f>PI()*3</f>
        <v>9.4247779607693793</v>
      </c>
      <c r="E158" t="s">
        <v>6</v>
      </c>
    </row>
    <row r="159" spans="1:5" x14ac:dyDescent="0.3">
      <c r="A159" t="s">
        <v>433</v>
      </c>
      <c r="D159">
        <v>6</v>
      </c>
      <c r="E159" t="s">
        <v>0</v>
      </c>
    </row>
    <row r="160" spans="1:5" x14ac:dyDescent="0.3">
      <c r="A160" t="s">
        <v>387</v>
      </c>
      <c r="D160">
        <v>13</v>
      </c>
      <c r="E160" t="s">
        <v>6</v>
      </c>
    </row>
    <row r="161" spans="1:9" x14ac:dyDescent="0.3">
      <c r="A161" t="s">
        <v>385</v>
      </c>
      <c r="D161">
        <v>16.5</v>
      </c>
      <c r="E161" t="s">
        <v>6</v>
      </c>
    </row>
    <row r="162" spans="1:9" x14ac:dyDescent="0.3">
      <c r="A162" t="s">
        <v>386</v>
      </c>
      <c r="D162" s="6">
        <v>18.600000000000001</v>
      </c>
      <c r="E162" s="6" t="s">
        <v>6</v>
      </c>
    </row>
    <row r="163" spans="1:9" x14ac:dyDescent="0.3">
      <c r="D163">
        <f>ROUNDUP(D158*D159*(D160+D161+D162),0)</f>
        <v>2720</v>
      </c>
      <c r="E163" t="s">
        <v>11</v>
      </c>
    </row>
    <row r="165" spans="1:9" x14ac:dyDescent="0.3">
      <c r="A165" s="172" t="s">
        <v>384</v>
      </c>
      <c r="D165">
        <f>6+3+6+3</f>
        <v>18</v>
      </c>
      <c r="E165" t="s">
        <v>6</v>
      </c>
    </row>
    <row r="166" spans="1:9" x14ac:dyDescent="0.3">
      <c r="A166" t="s">
        <v>387</v>
      </c>
      <c r="D166">
        <v>10</v>
      </c>
      <c r="E166" t="s">
        <v>6</v>
      </c>
    </row>
    <row r="167" spans="1:9" x14ac:dyDescent="0.3">
      <c r="A167" t="s">
        <v>385</v>
      </c>
      <c r="D167">
        <v>13.5</v>
      </c>
      <c r="E167" t="s">
        <v>6</v>
      </c>
    </row>
    <row r="168" spans="1:9" x14ac:dyDescent="0.3">
      <c r="A168" t="s">
        <v>386</v>
      </c>
      <c r="D168" s="6">
        <v>15.5</v>
      </c>
      <c r="E168" s="6" t="s">
        <v>6</v>
      </c>
    </row>
    <row r="169" spans="1:9" x14ac:dyDescent="0.3">
      <c r="A169" t="s">
        <v>145</v>
      </c>
      <c r="D169">
        <f>D165+(D166+D167+D168)</f>
        <v>57</v>
      </c>
      <c r="E169" t="s">
        <v>11</v>
      </c>
    </row>
    <row r="171" spans="1:9" x14ac:dyDescent="0.3">
      <c r="A171" t="s">
        <v>145</v>
      </c>
      <c r="D171">
        <f>D163+D169</f>
        <v>2777</v>
      </c>
      <c r="E171" t="s">
        <v>11</v>
      </c>
    </row>
    <row r="172" spans="1:9" x14ac:dyDescent="0.3">
      <c r="D172">
        <f>D171/9</f>
        <v>308.55555555555554</v>
      </c>
      <c r="E172" t="s">
        <v>2</v>
      </c>
    </row>
    <row r="175" spans="1:9" x14ac:dyDescent="0.3">
      <c r="A175" s="6" t="s">
        <v>164</v>
      </c>
      <c r="B175" s="6"/>
      <c r="C175" s="6"/>
      <c r="D175" s="6"/>
      <c r="E175" s="6"/>
      <c r="F175" s="6"/>
      <c r="G175" s="6"/>
      <c r="H175" s="6"/>
      <c r="I175" s="6"/>
    </row>
    <row r="177" spans="1:9" x14ac:dyDescent="0.3">
      <c r="A177" t="s">
        <v>162</v>
      </c>
      <c r="D177">
        <v>2</v>
      </c>
      <c r="E177" t="s">
        <v>6</v>
      </c>
    </row>
    <row r="178" spans="1:9" x14ac:dyDescent="0.3">
      <c r="A178" t="s">
        <v>161</v>
      </c>
      <c r="D178">
        <v>126.583</v>
      </c>
      <c r="E178" t="s">
        <v>6</v>
      </c>
    </row>
    <row r="179" spans="1:9" x14ac:dyDescent="0.3">
      <c r="A179" t="s">
        <v>160</v>
      </c>
      <c r="D179">
        <v>2.5</v>
      </c>
      <c r="E179" t="s">
        <v>6</v>
      </c>
    </row>
    <row r="180" spans="1:9" x14ac:dyDescent="0.3">
      <c r="A180" t="s">
        <v>159</v>
      </c>
      <c r="D180">
        <v>1.75</v>
      </c>
      <c r="E180" t="s">
        <v>6</v>
      </c>
    </row>
    <row r="181" spans="1:9" x14ac:dyDescent="0.3">
      <c r="A181" t="s">
        <v>158</v>
      </c>
      <c r="D181">
        <v>6.5</v>
      </c>
      <c r="E181" t="s">
        <v>6</v>
      </c>
    </row>
    <row r="182" spans="1:9" x14ac:dyDescent="0.3">
      <c r="A182" t="s">
        <v>157</v>
      </c>
      <c r="D182">
        <v>0</v>
      </c>
      <c r="E182" t="s">
        <v>6</v>
      </c>
    </row>
    <row r="184" spans="1:9" x14ac:dyDescent="0.3">
      <c r="A184" t="s">
        <v>156</v>
      </c>
      <c r="D184">
        <f>D178*D179</f>
        <v>316.45749999999998</v>
      </c>
      <c r="E184" t="s">
        <v>3</v>
      </c>
    </row>
    <row r="185" spans="1:9" x14ac:dyDescent="0.3">
      <c r="A185" t="s">
        <v>155</v>
      </c>
      <c r="D185">
        <f>D178*D177</f>
        <v>253.166</v>
      </c>
      <c r="E185" t="s">
        <v>3</v>
      </c>
    </row>
    <row r="186" spans="1:9" x14ac:dyDescent="0.3">
      <c r="A186" t="s">
        <v>154</v>
      </c>
      <c r="D186">
        <f>2*(D177*D179)</f>
        <v>10</v>
      </c>
      <c r="E186" t="s">
        <v>3</v>
      </c>
    </row>
    <row r="187" spans="1:9" x14ac:dyDescent="0.3">
      <c r="A187" t="s">
        <v>153</v>
      </c>
      <c r="D187">
        <f>4*D177*D182</f>
        <v>0</v>
      </c>
      <c r="E187" t="s">
        <v>3</v>
      </c>
    </row>
    <row r="188" spans="1:9" ht="15" customHeight="1" x14ac:dyDescent="0.3">
      <c r="A188" s="84" t="s">
        <v>152</v>
      </c>
      <c r="B188" s="25"/>
      <c r="D188">
        <f>D181*D178</f>
        <v>822.78949999999998</v>
      </c>
      <c r="E188" t="s">
        <v>3</v>
      </c>
    </row>
    <row r="189" spans="1:9" x14ac:dyDescent="0.3">
      <c r="A189" s="25"/>
      <c r="B189" s="25"/>
      <c r="I189" s="105"/>
    </row>
    <row r="190" spans="1:9" x14ac:dyDescent="0.3">
      <c r="A190" s="84" t="s">
        <v>151</v>
      </c>
      <c r="B190" s="71"/>
      <c r="D190">
        <f>2.666+1.5+2.666+0.166+1+0.166</f>
        <v>8.1640000000000015</v>
      </c>
      <c r="E190" t="s">
        <v>6</v>
      </c>
    </row>
    <row r="191" spans="1:9" x14ac:dyDescent="0.3">
      <c r="A191" s="84" t="s">
        <v>150</v>
      </c>
      <c r="B191" s="71"/>
      <c r="D191">
        <f>29.25+18.25</f>
        <v>47.5</v>
      </c>
      <c r="E191" t="s">
        <v>6</v>
      </c>
      <c r="F191" s="173" t="s">
        <v>389</v>
      </c>
    </row>
    <row r="192" spans="1:9" x14ac:dyDescent="0.3">
      <c r="A192" s="84" t="s">
        <v>149</v>
      </c>
      <c r="B192" s="71"/>
      <c r="D192">
        <f>D190*D191</f>
        <v>387.79000000000008</v>
      </c>
      <c r="E192" t="s">
        <v>3</v>
      </c>
    </row>
    <row r="193" spans="1:9" x14ac:dyDescent="0.3">
      <c r="A193" s="84" t="s">
        <v>148</v>
      </c>
      <c r="B193" s="82"/>
      <c r="D193">
        <v>1</v>
      </c>
      <c r="E193" t="s">
        <v>0</v>
      </c>
    </row>
    <row r="194" spans="1:9" x14ac:dyDescent="0.3">
      <c r="A194" s="84"/>
      <c r="B194" s="71"/>
    </row>
    <row r="195" spans="1:9" ht="15" customHeight="1" x14ac:dyDescent="0.3">
      <c r="A195" s="84" t="s">
        <v>390</v>
      </c>
      <c r="B195" s="82"/>
      <c r="D195">
        <f>(29.25*(1+9.5)/2)</f>
        <v>153.5625</v>
      </c>
      <c r="E195" t="s">
        <v>3</v>
      </c>
    </row>
    <row r="196" spans="1:9" x14ac:dyDescent="0.3">
      <c r="A196" s="84" t="s">
        <v>146</v>
      </c>
      <c r="B196" s="82"/>
      <c r="D196">
        <v>1</v>
      </c>
      <c r="E196" t="s">
        <v>0</v>
      </c>
    </row>
    <row r="197" spans="1:9" x14ac:dyDescent="0.3">
      <c r="A197" s="84" t="s">
        <v>391</v>
      </c>
      <c r="B197" s="82"/>
      <c r="D197">
        <f>(18.25*(1+9.5)/2)</f>
        <v>95.8125</v>
      </c>
      <c r="E197" t="s">
        <v>3</v>
      </c>
    </row>
    <row r="198" spans="1:9" x14ac:dyDescent="0.3">
      <c r="A198" s="84" t="s">
        <v>146</v>
      </c>
      <c r="B198" s="82"/>
      <c r="D198">
        <v>1</v>
      </c>
      <c r="E198" t="s">
        <v>0</v>
      </c>
    </row>
    <row r="199" spans="1:9" x14ac:dyDescent="0.3">
      <c r="A199" s="82"/>
      <c r="B199" s="82"/>
    </row>
    <row r="201" spans="1:9" x14ac:dyDescent="0.3">
      <c r="A201" t="s">
        <v>145</v>
      </c>
      <c r="D201" s="8">
        <f>D184+D185+D186+D187+D188+(D192*D193)+(D195*D196)+(D197*D198)</f>
        <v>2039.578</v>
      </c>
      <c r="E201" t="s">
        <v>3</v>
      </c>
    </row>
    <row r="202" spans="1:9" x14ac:dyDescent="0.3">
      <c r="D202" s="8">
        <f>D201/9</f>
        <v>226.61977777777778</v>
      </c>
      <c r="E202" t="s">
        <v>2</v>
      </c>
    </row>
    <row r="205" spans="1:9" x14ac:dyDescent="0.3">
      <c r="A205" s="6" t="s">
        <v>163</v>
      </c>
      <c r="B205" s="6"/>
      <c r="C205" s="6"/>
      <c r="D205" s="6"/>
      <c r="E205" s="6"/>
      <c r="F205" s="6"/>
      <c r="G205" s="6"/>
      <c r="H205" s="6"/>
      <c r="I205" s="6"/>
    </row>
    <row r="207" spans="1:9" x14ac:dyDescent="0.3">
      <c r="A207" t="s">
        <v>162</v>
      </c>
      <c r="D207">
        <v>2</v>
      </c>
      <c r="E207" t="s">
        <v>6</v>
      </c>
    </row>
    <row r="208" spans="1:9" x14ac:dyDescent="0.3">
      <c r="A208" t="s">
        <v>161</v>
      </c>
      <c r="D208">
        <v>126.583</v>
      </c>
      <c r="E208" t="s">
        <v>6</v>
      </c>
    </row>
    <row r="209" spans="1:6" x14ac:dyDescent="0.3">
      <c r="A209" t="s">
        <v>160</v>
      </c>
      <c r="D209">
        <v>11</v>
      </c>
      <c r="E209" t="s">
        <v>6</v>
      </c>
    </row>
    <row r="210" spans="1:6" x14ac:dyDescent="0.3">
      <c r="A210" t="s">
        <v>159</v>
      </c>
      <c r="D210">
        <v>1.75</v>
      </c>
      <c r="E210" t="s">
        <v>6</v>
      </c>
    </row>
    <row r="211" spans="1:6" x14ac:dyDescent="0.3">
      <c r="A211" t="s">
        <v>158</v>
      </c>
      <c r="D211">
        <v>6.5</v>
      </c>
      <c r="E211" t="s">
        <v>6</v>
      </c>
    </row>
    <row r="212" spans="1:6" x14ac:dyDescent="0.3">
      <c r="A212" t="s">
        <v>157</v>
      </c>
      <c r="D212">
        <v>0</v>
      </c>
      <c r="E212" t="s">
        <v>6</v>
      </c>
    </row>
    <row r="214" spans="1:6" x14ac:dyDescent="0.3">
      <c r="A214" t="s">
        <v>156</v>
      </c>
      <c r="D214">
        <f>D208*D209</f>
        <v>1392.413</v>
      </c>
      <c r="E214" t="s">
        <v>3</v>
      </c>
    </row>
    <row r="215" spans="1:6" x14ac:dyDescent="0.3">
      <c r="A215" t="s">
        <v>155</v>
      </c>
      <c r="D215">
        <f>D208*D207</f>
        <v>253.166</v>
      </c>
      <c r="E215" t="s">
        <v>3</v>
      </c>
    </row>
    <row r="216" spans="1:6" x14ac:dyDescent="0.3">
      <c r="A216" t="s">
        <v>154</v>
      </c>
      <c r="D216">
        <f>2*(D207*D209)</f>
        <v>44</v>
      </c>
      <c r="E216" t="s">
        <v>3</v>
      </c>
    </row>
    <row r="217" spans="1:6" ht="15" customHeight="1" x14ac:dyDescent="0.3">
      <c r="A217" t="s">
        <v>153</v>
      </c>
      <c r="D217">
        <f>4*D207*D212</f>
        <v>0</v>
      </c>
      <c r="E217" t="s">
        <v>3</v>
      </c>
    </row>
    <row r="218" spans="1:6" x14ac:dyDescent="0.3">
      <c r="A218" s="84" t="s">
        <v>152</v>
      </c>
      <c r="B218" s="25"/>
      <c r="D218">
        <f>D211*D208</f>
        <v>822.78949999999998</v>
      </c>
      <c r="E218" t="s">
        <v>3</v>
      </c>
    </row>
    <row r="219" spans="1:6" x14ac:dyDescent="0.3">
      <c r="A219" s="25"/>
      <c r="B219" s="25"/>
    </row>
    <row r="220" spans="1:6" x14ac:dyDescent="0.3">
      <c r="A220" s="84" t="s">
        <v>151</v>
      </c>
      <c r="B220" s="71"/>
      <c r="D220">
        <f>2.666+1.5+2.666+0.166+1+0.166</f>
        <v>8.1640000000000015</v>
      </c>
      <c r="E220" t="s">
        <v>6</v>
      </c>
    </row>
    <row r="221" spans="1:6" x14ac:dyDescent="0.3">
      <c r="A221" s="84" t="s">
        <v>150</v>
      </c>
      <c r="B221" s="71"/>
      <c r="D221">
        <f>74+35.25</f>
        <v>109.25</v>
      </c>
      <c r="E221" t="s">
        <v>6</v>
      </c>
      <c r="F221" s="173" t="s">
        <v>392</v>
      </c>
    </row>
    <row r="222" spans="1:6" x14ac:dyDescent="0.3">
      <c r="A222" s="84" t="s">
        <v>149</v>
      </c>
      <c r="B222" s="71"/>
      <c r="D222">
        <f>D220*D221</f>
        <v>891.91700000000014</v>
      </c>
      <c r="E222" t="s">
        <v>3</v>
      </c>
    </row>
    <row r="223" spans="1:6" x14ac:dyDescent="0.3">
      <c r="A223" s="84" t="s">
        <v>148</v>
      </c>
      <c r="B223" s="82"/>
      <c r="D223">
        <v>1</v>
      </c>
      <c r="E223" t="s">
        <v>0</v>
      </c>
    </row>
    <row r="224" spans="1:6" ht="15" customHeight="1" x14ac:dyDescent="0.3">
      <c r="A224" s="84"/>
      <c r="B224" s="71"/>
    </row>
    <row r="225" spans="1:5" x14ac:dyDescent="0.3">
      <c r="A225" s="84" t="s">
        <v>390</v>
      </c>
      <c r="B225" s="82"/>
      <c r="D225">
        <f>(74*(2+17.5)/2)</f>
        <v>721.5</v>
      </c>
      <c r="E225" t="s">
        <v>3</v>
      </c>
    </row>
    <row r="226" spans="1:5" x14ac:dyDescent="0.3">
      <c r="A226" s="84" t="s">
        <v>146</v>
      </c>
      <c r="B226" s="82"/>
      <c r="D226">
        <v>1</v>
      </c>
      <c r="E226" t="s">
        <v>0</v>
      </c>
    </row>
    <row r="227" spans="1:5" x14ac:dyDescent="0.3">
      <c r="A227" s="84" t="s">
        <v>391</v>
      </c>
      <c r="B227" s="82"/>
      <c r="D227">
        <f>(35.25*(2+17.5)/2)</f>
        <v>343.6875</v>
      </c>
      <c r="E227" t="s">
        <v>3</v>
      </c>
    </row>
    <row r="228" spans="1:5" x14ac:dyDescent="0.3">
      <c r="A228" s="84" t="s">
        <v>146</v>
      </c>
      <c r="B228" s="82"/>
      <c r="D228">
        <v>1</v>
      </c>
      <c r="E228" t="s">
        <v>0</v>
      </c>
    </row>
    <row r="229" spans="1:5" x14ac:dyDescent="0.3">
      <c r="A229" s="82"/>
      <c r="B229" s="82"/>
    </row>
    <row r="231" spans="1:5" x14ac:dyDescent="0.3">
      <c r="A231" t="s">
        <v>145</v>
      </c>
      <c r="D231" s="8">
        <f>D214+D215+D216+D217+D218+(D222*D223)+(D225*D226)+(D227*D228)</f>
        <v>4469.473</v>
      </c>
      <c r="E231" t="s">
        <v>3</v>
      </c>
    </row>
    <row r="232" spans="1:5" x14ac:dyDescent="0.3">
      <c r="D232" s="8">
        <f>D231/9</f>
        <v>496.6081111111111</v>
      </c>
      <c r="E232" t="s">
        <v>2</v>
      </c>
    </row>
    <row r="234" spans="1:5" x14ac:dyDescent="0.3">
      <c r="A234" s="3" t="s">
        <v>144</v>
      </c>
      <c r="B234" s="3"/>
      <c r="C234" s="3"/>
      <c r="D234" s="4">
        <f>ROUNDUP(D118+D124+D155+D172+D202+D232,0)</f>
        <v>2242</v>
      </c>
      <c r="E234" s="3" t="s">
        <v>2</v>
      </c>
    </row>
    <row r="237" spans="1:5" x14ac:dyDescent="0.3">
      <c r="A237" s="2" t="s">
        <v>171</v>
      </c>
    </row>
    <row r="239" spans="1:5" x14ac:dyDescent="0.3">
      <c r="A239" s="6" t="s">
        <v>170</v>
      </c>
      <c r="B239" s="6"/>
    </row>
    <row r="240" spans="1:5" x14ac:dyDescent="0.3">
      <c r="A240" t="s">
        <v>169</v>
      </c>
      <c r="D240">
        <v>537.5</v>
      </c>
      <c r="E240" t="s">
        <v>6</v>
      </c>
    </row>
    <row r="241" spans="1:9" x14ac:dyDescent="0.3">
      <c r="A241" t="s">
        <v>168</v>
      </c>
      <c r="D241">
        <v>10.5</v>
      </c>
      <c r="E241" t="s">
        <v>6</v>
      </c>
      <c r="F241">
        <f>(2.67+1.5+2.67+0.92+2.75)</f>
        <v>10.51</v>
      </c>
    </row>
    <row r="242" spans="1:9" x14ac:dyDescent="0.3">
      <c r="A242" t="s">
        <v>167</v>
      </c>
      <c r="D242">
        <v>2</v>
      </c>
    </row>
    <row r="243" spans="1:9" x14ac:dyDescent="0.3">
      <c r="A243" t="s">
        <v>166</v>
      </c>
      <c r="D243">
        <f>D240*D241*D242</f>
        <v>11287.5</v>
      </c>
      <c r="E243" t="s">
        <v>3</v>
      </c>
    </row>
    <row r="244" spans="1:9" x14ac:dyDescent="0.3">
      <c r="D244" s="106">
        <f>D243/9-(10*5.5/9)</f>
        <v>1248.0555555555557</v>
      </c>
      <c r="E244" t="s">
        <v>2</v>
      </c>
      <c r="F244" s="104" t="s">
        <v>165</v>
      </c>
    </row>
    <row r="247" spans="1:9" x14ac:dyDescent="0.3">
      <c r="A247" s="6" t="s">
        <v>164</v>
      </c>
      <c r="B247" s="6"/>
      <c r="C247" s="6"/>
      <c r="D247" s="6"/>
      <c r="E247" s="6"/>
      <c r="F247" s="6"/>
      <c r="G247" s="6"/>
      <c r="H247" s="6"/>
      <c r="I247" s="6"/>
    </row>
    <row r="249" spans="1:9" x14ac:dyDescent="0.3">
      <c r="A249" t="s">
        <v>162</v>
      </c>
      <c r="D249">
        <v>2</v>
      </c>
      <c r="E249" t="s">
        <v>6</v>
      </c>
    </row>
    <row r="250" spans="1:9" x14ac:dyDescent="0.3">
      <c r="A250" t="s">
        <v>161</v>
      </c>
      <c r="D250">
        <v>48.17</v>
      </c>
      <c r="E250" t="s">
        <v>6</v>
      </c>
    </row>
    <row r="251" spans="1:9" x14ac:dyDescent="0.3">
      <c r="A251" t="s">
        <v>160</v>
      </c>
      <c r="D251">
        <v>2.5</v>
      </c>
      <c r="E251" t="s">
        <v>6</v>
      </c>
    </row>
    <row r="252" spans="1:9" x14ac:dyDescent="0.3">
      <c r="A252" t="s">
        <v>159</v>
      </c>
      <c r="D252">
        <v>1.75</v>
      </c>
      <c r="E252" t="s">
        <v>6</v>
      </c>
    </row>
    <row r="253" spans="1:9" x14ac:dyDescent="0.3">
      <c r="A253" t="s">
        <v>158</v>
      </c>
      <c r="D253">
        <v>8</v>
      </c>
      <c r="E253" t="s">
        <v>6</v>
      </c>
    </row>
    <row r="254" spans="1:9" x14ac:dyDescent="0.3">
      <c r="A254" t="s">
        <v>157</v>
      </c>
      <c r="D254">
        <v>7.75</v>
      </c>
      <c r="E254" t="s">
        <v>6</v>
      </c>
    </row>
    <row r="256" spans="1:9" x14ac:dyDescent="0.3">
      <c r="A256" t="s">
        <v>156</v>
      </c>
      <c r="D256">
        <f>D250*D251</f>
        <v>120.42500000000001</v>
      </c>
      <c r="E256" t="s">
        <v>3</v>
      </c>
    </row>
    <row r="257" spans="1:9" x14ac:dyDescent="0.3">
      <c r="A257" t="s">
        <v>155</v>
      </c>
      <c r="D257">
        <f>D250*D249</f>
        <v>96.34</v>
      </c>
      <c r="E257" t="s">
        <v>3</v>
      </c>
    </row>
    <row r="258" spans="1:9" x14ac:dyDescent="0.3">
      <c r="A258" t="s">
        <v>154</v>
      </c>
      <c r="D258">
        <f>2*(D249*D251)</f>
        <v>10</v>
      </c>
      <c r="E258" t="s">
        <v>3</v>
      </c>
    </row>
    <row r="259" spans="1:9" x14ac:dyDescent="0.3">
      <c r="A259" t="s">
        <v>153</v>
      </c>
      <c r="D259">
        <f>4*D249*D254</f>
        <v>62</v>
      </c>
      <c r="E259" t="s">
        <v>3</v>
      </c>
    </row>
    <row r="260" spans="1:9" ht="15" customHeight="1" x14ac:dyDescent="0.3">
      <c r="A260" s="84" t="s">
        <v>152</v>
      </c>
      <c r="B260" s="25"/>
      <c r="D260">
        <f>D253*D250</f>
        <v>385.36</v>
      </c>
      <c r="E260" t="s">
        <v>3</v>
      </c>
    </row>
    <row r="261" spans="1:9" x14ac:dyDescent="0.3">
      <c r="A261" s="25"/>
      <c r="B261" s="25"/>
      <c r="I261" s="105"/>
    </row>
    <row r="262" spans="1:9" x14ac:dyDescent="0.3">
      <c r="A262" s="84" t="s">
        <v>151</v>
      </c>
      <c r="B262" s="71"/>
      <c r="D262">
        <v>7.5</v>
      </c>
      <c r="E262" t="s">
        <v>6</v>
      </c>
    </row>
    <row r="263" spans="1:9" x14ac:dyDescent="0.3">
      <c r="A263" s="84" t="s">
        <v>150</v>
      </c>
      <c r="B263" s="71"/>
      <c r="D263">
        <v>29</v>
      </c>
      <c r="E263" t="s">
        <v>6</v>
      </c>
    </row>
    <row r="264" spans="1:9" x14ac:dyDescent="0.3">
      <c r="A264" s="84" t="s">
        <v>149</v>
      </c>
      <c r="B264" s="71"/>
      <c r="D264">
        <f>D262*D263</f>
        <v>217.5</v>
      </c>
      <c r="E264" t="s">
        <v>3</v>
      </c>
    </row>
    <row r="265" spans="1:9" x14ac:dyDescent="0.3">
      <c r="A265" s="84" t="s">
        <v>148</v>
      </c>
      <c r="B265" s="82"/>
      <c r="D265">
        <v>2</v>
      </c>
      <c r="E265" t="s">
        <v>0</v>
      </c>
    </row>
    <row r="266" spans="1:9" x14ac:dyDescent="0.3">
      <c r="A266" s="84"/>
      <c r="B266" s="71"/>
    </row>
    <row r="267" spans="1:9" ht="15" customHeight="1" x14ac:dyDescent="0.3">
      <c r="A267" s="84" t="s">
        <v>147</v>
      </c>
      <c r="B267" s="82"/>
      <c r="D267">
        <f>(20*8)+(3*4)+(6*3)</f>
        <v>190</v>
      </c>
      <c r="E267" t="s">
        <v>3</v>
      </c>
    </row>
    <row r="268" spans="1:9" x14ac:dyDescent="0.3">
      <c r="A268" s="84" t="s">
        <v>146</v>
      </c>
      <c r="B268" s="82"/>
      <c r="D268">
        <v>2</v>
      </c>
      <c r="E268" t="s">
        <v>0</v>
      </c>
    </row>
    <row r="269" spans="1:9" x14ac:dyDescent="0.3">
      <c r="A269" s="82"/>
      <c r="B269" s="82"/>
    </row>
    <row r="271" spans="1:9" x14ac:dyDescent="0.3">
      <c r="A271" t="s">
        <v>145</v>
      </c>
      <c r="D271" s="8">
        <f>D256+D257+D258+D259+D260+(D264*D265)+(D267*D268)</f>
        <v>1489.125</v>
      </c>
      <c r="E271" t="s">
        <v>3</v>
      </c>
    </row>
    <row r="272" spans="1:9" x14ac:dyDescent="0.3">
      <c r="D272" s="8">
        <f>D271/9</f>
        <v>165.45833333333334</v>
      </c>
      <c r="E272" t="s">
        <v>2</v>
      </c>
    </row>
    <row r="275" spans="1:9" x14ac:dyDescent="0.3">
      <c r="A275" s="6" t="s">
        <v>163</v>
      </c>
      <c r="B275" s="6"/>
      <c r="C275" s="6"/>
      <c r="D275" s="6"/>
      <c r="E275" s="6"/>
      <c r="F275" s="6"/>
      <c r="G275" s="6"/>
      <c r="H275" s="6"/>
      <c r="I275" s="6"/>
    </row>
    <row r="277" spans="1:9" x14ac:dyDescent="0.3">
      <c r="A277" t="s">
        <v>162</v>
      </c>
      <c r="D277">
        <v>2</v>
      </c>
      <c r="E277" t="s">
        <v>6</v>
      </c>
    </row>
    <row r="278" spans="1:9" x14ac:dyDescent="0.3">
      <c r="A278" t="s">
        <v>161</v>
      </c>
      <c r="D278">
        <v>48.17</v>
      </c>
      <c r="E278" t="s">
        <v>6</v>
      </c>
    </row>
    <row r="279" spans="1:9" x14ac:dyDescent="0.3">
      <c r="A279" t="s">
        <v>160</v>
      </c>
      <c r="D279">
        <v>2.5</v>
      </c>
      <c r="E279" t="s">
        <v>6</v>
      </c>
    </row>
    <row r="280" spans="1:9" x14ac:dyDescent="0.3">
      <c r="A280" t="s">
        <v>159</v>
      </c>
      <c r="D280">
        <v>1.75</v>
      </c>
      <c r="E280" t="s">
        <v>6</v>
      </c>
    </row>
    <row r="281" spans="1:9" x14ac:dyDescent="0.3">
      <c r="A281" t="s">
        <v>158</v>
      </c>
      <c r="D281">
        <v>8</v>
      </c>
      <c r="E281" t="s">
        <v>6</v>
      </c>
    </row>
    <row r="282" spans="1:9" x14ac:dyDescent="0.3">
      <c r="A282" t="s">
        <v>157</v>
      </c>
      <c r="D282">
        <v>7.75</v>
      </c>
      <c r="E282" t="s">
        <v>6</v>
      </c>
    </row>
    <row r="284" spans="1:9" x14ac:dyDescent="0.3">
      <c r="A284" t="s">
        <v>156</v>
      </c>
      <c r="D284">
        <f>D278*D279</f>
        <v>120.42500000000001</v>
      </c>
      <c r="E284" t="s">
        <v>3</v>
      </c>
    </row>
    <row r="285" spans="1:9" x14ac:dyDescent="0.3">
      <c r="A285" t="s">
        <v>155</v>
      </c>
      <c r="D285">
        <f>D278*D277</f>
        <v>96.34</v>
      </c>
      <c r="E285" t="s">
        <v>3</v>
      </c>
    </row>
    <row r="286" spans="1:9" x14ac:dyDescent="0.3">
      <c r="A286" t="s">
        <v>154</v>
      </c>
      <c r="D286">
        <f>2*(D277*D279)</f>
        <v>10</v>
      </c>
      <c r="E286" t="s">
        <v>3</v>
      </c>
    </row>
    <row r="287" spans="1:9" ht="15" customHeight="1" x14ac:dyDescent="0.3">
      <c r="A287" t="s">
        <v>153</v>
      </c>
      <c r="D287">
        <f>4*D277*D282</f>
        <v>62</v>
      </c>
      <c r="E287" t="s">
        <v>3</v>
      </c>
    </row>
    <row r="288" spans="1:9" x14ac:dyDescent="0.3">
      <c r="A288" s="84" t="s">
        <v>152</v>
      </c>
      <c r="B288" s="25"/>
      <c r="D288">
        <f>D281*D278</f>
        <v>385.36</v>
      </c>
      <c r="E288" t="s">
        <v>3</v>
      </c>
    </row>
    <row r="289" spans="1:5" x14ac:dyDescent="0.3">
      <c r="A289" s="25"/>
      <c r="B289" s="25"/>
    </row>
    <row r="290" spans="1:5" x14ac:dyDescent="0.3">
      <c r="A290" s="84" t="s">
        <v>151</v>
      </c>
      <c r="B290" s="71"/>
      <c r="D290">
        <v>7.5</v>
      </c>
      <c r="E290" t="s">
        <v>6</v>
      </c>
    </row>
    <row r="291" spans="1:5" x14ac:dyDescent="0.3">
      <c r="A291" s="84" t="s">
        <v>150</v>
      </c>
      <c r="B291" s="71"/>
      <c r="D291">
        <v>29</v>
      </c>
      <c r="E291" t="s">
        <v>6</v>
      </c>
    </row>
    <row r="292" spans="1:5" x14ac:dyDescent="0.3">
      <c r="A292" s="84" t="s">
        <v>149</v>
      </c>
      <c r="B292" s="71"/>
      <c r="D292">
        <f>D290*D291</f>
        <v>217.5</v>
      </c>
      <c r="E292" t="s">
        <v>3</v>
      </c>
    </row>
    <row r="293" spans="1:5" x14ac:dyDescent="0.3">
      <c r="A293" s="84" t="s">
        <v>148</v>
      </c>
      <c r="B293" s="82"/>
      <c r="D293">
        <v>2</v>
      </c>
      <c r="E293" t="s">
        <v>0</v>
      </c>
    </row>
    <row r="294" spans="1:5" ht="15" customHeight="1" x14ac:dyDescent="0.3">
      <c r="A294" s="84"/>
      <c r="B294" s="71"/>
    </row>
    <row r="295" spans="1:5" x14ac:dyDescent="0.3">
      <c r="A295" s="84" t="s">
        <v>147</v>
      </c>
      <c r="B295" s="82"/>
      <c r="D295">
        <f>(20*8)+(3*4)+(6*3)</f>
        <v>190</v>
      </c>
      <c r="E295" t="s">
        <v>3</v>
      </c>
    </row>
    <row r="296" spans="1:5" x14ac:dyDescent="0.3">
      <c r="A296" s="84" t="s">
        <v>146</v>
      </c>
      <c r="B296" s="82"/>
      <c r="D296">
        <v>2</v>
      </c>
      <c r="E296" t="s">
        <v>0</v>
      </c>
    </row>
    <row r="297" spans="1:5" x14ac:dyDescent="0.3">
      <c r="A297" s="82"/>
      <c r="B297" s="82"/>
    </row>
    <row r="299" spans="1:5" x14ac:dyDescent="0.3">
      <c r="A299" t="s">
        <v>145</v>
      </c>
      <c r="D299" s="8">
        <f>D284+D285+D286+D287+D288+(D292*D293)+(D295*D296)</f>
        <v>1489.125</v>
      </c>
      <c r="E299" t="s">
        <v>3</v>
      </c>
    </row>
    <row r="300" spans="1:5" x14ac:dyDescent="0.3">
      <c r="D300" s="8">
        <f>D299/9</f>
        <v>165.45833333333334</v>
      </c>
      <c r="E300" t="s">
        <v>2</v>
      </c>
    </row>
    <row r="302" spans="1:5" x14ac:dyDescent="0.3">
      <c r="A302" s="3" t="s">
        <v>144</v>
      </c>
      <c r="B302" s="3"/>
      <c r="C302" s="3"/>
      <c r="D302" s="4">
        <f>ROUNDUP(D244+D272+D300,0)</f>
        <v>1579</v>
      </c>
      <c r="E302" s="3" t="s">
        <v>2</v>
      </c>
    </row>
    <row r="306" spans="1:7" x14ac:dyDescent="0.3">
      <c r="A306" s="5" t="s">
        <v>324</v>
      </c>
    </row>
    <row r="308" spans="1:7" x14ac:dyDescent="0.3">
      <c r="A308" t="s">
        <v>143</v>
      </c>
      <c r="D308">
        <v>25</v>
      </c>
      <c r="E308" t="s">
        <v>6</v>
      </c>
    </row>
    <row r="309" spans="1:7" x14ac:dyDescent="0.3">
      <c r="A309" t="s">
        <v>142</v>
      </c>
      <c r="D309">
        <v>24</v>
      </c>
      <c r="E309" t="s">
        <v>6</v>
      </c>
      <c r="F309" t="s">
        <v>136</v>
      </c>
    </row>
    <row r="310" spans="1:7" x14ac:dyDescent="0.3">
      <c r="A310" t="s">
        <v>141</v>
      </c>
      <c r="D310">
        <v>0</v>
      </c>
    </row>
    <row r="311" spans="1:7" x14ac:dyDescent="0.3">
      <c r="A311" t="s">
        <v>140</v>
      </c>
      <c r="D311">
        <f>D308*D309*D310</f>
        <v>0</v>
      </c>
      <c r="E311" t="s">
        <v>134</v>
      </c>
      <c r="F311">
        <f>D311/9</f>
        <v>0</v>
      </c>
      <c r="G311" t="s">
        <v>2</v>
      </c>
    </row>
    <row r="313" spans="1:7" x14ac:dyDescent="0.3">
      <c r="A313" t="s">
        <v>139</v>
      </c>
      <c r="D313">
        <v>0</v>
      </c>
      <c r="E313" t="s">
        <v>6</v>
      </c>
      <c r="F313" t="s">
        <v>138</v>
      </c>
    </row>
    <row r="314" spans="1:7" x14ac:dyDescent="0.3">
      <c r="A314" t="s">
        <v>137</v>
      </c>
      <c r="D314">
        <v>38.5</v>
      </c>
      <c r="E314" t="s">
        <v>6</v>
      </c>
      <c r="F314" t="s">
        <v>136</v>
      </c>
    </row>
    <row r="315" spans="1:7" x14ac:dyDescent="0.3">
      <c r="A315" t="s">
        <v>135</v>
      </c>
      <c r="D315">
        <f>D313*D314</f>
        <v>0</v>
      </c>
      <c r="E315" t="s">
        <v>134</v>
      </c>
      <c r="F315">
        <f>D315/9</f>
        <v>0</v>
      </c>
      <c r="G315" t="s">
        <v>2</v>
      </c>
    </row>
    <row r="317" spans="1:7" x14ac:dyDescent="0.3">
      <c r="A317" s="3" t="s">
        <v>133</v>
      </c>
      <c r="B317" s="3">
        <f>ROUNDUP(F311+F315,0)</f>
        <v>0</v>
      </c>
      <c r="C317" s="3" t="s">
        <v>2</v>
      </c>
    </row>
    <row r="320" spans="1:7" x14ac:dyDescent="0.3">
      <c r="A320" s="2" t="s">
        <v>412</v>
      </c>
      <c r="G320" t="s">
        <v>274</v>
      </c>
    </row>
    <row r="321" spans="1:11" hidden="1" x14ac:dyDescent="0.3"/>
    <row r="322" spans="1:11" hidden="1" x14ac:dyDescent="0.3"/>
    <row r="323" spans="1:11" hidden="1" x14ac:dyDescent="0.3"/>
    <row r="324" spans="1:11" hidden="1" x14ac:dyDescent="0.3"/>
    <row r="325" spans="1:11" hidden="1" x14ac:dyDescent="0.3"/>
    <row r="326" spans="1:11" hidden="1" x14ac:dyDescent="0.3">
      <c r="A326" s="5" t="s">
        <v>132</v>
      </c>
    </row>
    <row r="327" spans="1:11" hidden="1" x14ac:dyDescent="0.3">
      <c r="A327" t="s">
        <v>131</v>
      </c>
      <c r="F327">
        <v>0</v>
      </c>
      <c r="G327" t="s">
        <v>0</v>
      </c>
    </row>
    <row r="328" spans="1:11" hidden="1" x14ac:dyDescent="0.3"/>
    <row r="330" spans="1:11" x14ac:dyDescent="0.3">
      <c r="A330" s="102" t="s">
        <v>436</v>
      </c>
      <c r="B330" s="6"/>
      <c r="C330" s="6"/>
    </row>
    <row r="331" spans="1:11" x14ac:dyDescent="0.3">
      <c r="A331" t="s">
        <v>437</v>
      </c>
      <c r="D331">
        <v>12</v>
      </c>
      <c r="E331" t="s">
        <v>0</v>
      </c>
    </row>
    <row r="332" spans="1:11" x14ac:dyDescent="0.3">
      <c r="A332" t="s">
        <v>439</v>
      </c>
      <c r="D332" s="8">
        <f>42*0.42</f>
        <v>17.64</v>
      </c>
      <c r="E332" t="s">
        <v>434</v>
      </c>
    </row>
    <row r="333" spans="1:11" x14ac:dyDescent="0.3">
      <c r="A333" t="s">
        <v>438</v>
      </c>
      <c r="D333" s="8">
        <f>(10.75*17*1.125)/1728*490</f>
        <v>58.299153645833329</v>
      </c>
      <c r="E333" t="s">
        <v>434</v>
      </c>
    </row>
    <row r="334" spans="1:11" x14ac:dyDescent="0.3">
      <c r="A334" t="s">
        <v>440</v>
      </c>
      <c r="D334">
        <f>ROUNDUP(D331*(D332+D333),0)</f>
        <v>912</v>
      </c>
      <c r="E334" t="s">
        <v>434</v>
      </c>
    </row>
    <row r="335" spans="1:11" x14ac:dyDescent="0.3">
      <c r="A335" s="104"/>
    </row>
    <row r="336" spans="1:11" x14ac:dyDescent="0.3">
      <c r="A336" s="194" t="s">
        <v>130</v>
      </c>
      <c r="B336" s="194"/>
      <c r="C336" s="194"/>
      <c r="D336" s="194"/>
      <c r="E336" s="194"/>
      <c r="F336" s="194"/>
      <c r="G336" s="194"/>
      <c r="H336" s="194"/>
      <c r="I336" s="194"/>
      <c r="J336" s="194"/>
      <c r="K336" s="194"/>
    </row>
    <row r="337" spans="1:70" x14ac:dyDescent="0.3">
      <c r="A337" s="194"/>
      <c r="B337" s="194"/>
      <c r="C337" s="194"/>
      <c r="D337" s="194"/>
      <c r="E337" s="194"/>
      <c r="F337" s="194"/>
      <c r="G337" s="194"/>
      <c r="H337" s="194"/>
      <c r="I337" s="194"/>
      <c r="J337" s="194"/>
      <c r="K337" s="194"/>
    </row>
    <row r="338" spans="1:70" x14ac:dyDescent="0.3">
      <c r="A338" s="194"/>
      <c r="B338" s="194"/>
      <c r="C338" s="194"/>
      <c r="D338" s="194"/>
      <c r="E338" s="194"/>
      <c r="F338" s="194"/>
      <c r="G338" s="194"/>
      <c r="H338" s="194"/>
      <c r="I338" s="194"/>
      <c r="J338" s="194"/>
      <c r="K338" s="194"/>
    </row>
    <row r="339" spans="1:70" ht="15.6" x14ac:dyDescent="0.3">
      <c r="G339" s="5" t="s">
        <v>129</v>
      </c>
      <c r="AR339" s="103"/>
    </row>
    <row r="340" spans="1:70" ht="15.6" x14ac:dyDescent="0.3">
      <c r="F340" s="102" t="s">
        <v>128</v>
      </c>
      <c r="G340" s="102" t="s">
        <v>127</v>
      </c>
      <c r="H340" s="34"/>
      <c r="I340" s="101" t="s">
        <v>62</v>
      </c>
      <c r="J340" s="9">
        <f>(2*(54+2.25))+(3*16)-(2*0.375)</f>
        <v>159.75</v>
      </c>
      <c r="K340" s="9" t="s">
        <v>64</v>
      </c>
      <c r="L340" s="101" t="s">
        <v>126</v>
      </c>
      <c r="N340" s="101" t="s">
        <v>62</v>
      </c>
      <c r="O340" s="9"/>
      <c r="P340" s="9" t="s">
        <v>64</v>
      </c>
      <c r="Q340" s="101" t="s">
        <v>126</v>
      </c>
      <c r="R340" s="101" t="s">
        <v>62</v>
      </c>
      <c r="S340" s="9"/>
      <c r="T340" s="9" t="s">
        <v>64</v>
      </c>
      <c r="U340" s="101" t="s">
        <v>126</v>
      </c>
      <c r="V340" s="100"/>
      <c r="W340" s="100"/>
      <c r="X340" s="100"/>
      <c r="Y340" s="100"/>
      <c r="Z340" s="100"/>
      <c r="AA340" s="100"/>
      <c r="AB340" s="100"/>
    </row>
    <row r="341" spans="1:70" ht="57.6" x14ac:dyDescent="0.3">
      <c r="B341">
        <v>514</v>
      </c>
      <c r="C341" s="87" t="s">
        <v>125</v>
      </c>
      <c r="D341" s="71" t="s">
        <v>124</v>
      </c>
      <c r="E341" t="s">
        <v>3</v>
      </c>
      <c r="F341" s="83">
        <f>N377</f>
        <v>52095.573148349467</v>
      </c>
      <c r="G341" s="53">
        <v>200</v>
      </c>
      <c r="H341" s="92">
        <f t="shared" ref="H341:H346" si="0">SUM(F341:G341)</f>
        <v>52295.573148349467</v>
      </c>
      <c r="I341" s="99" t="s">
        <v>226</v>
      </c>
      <c r="J341" s="76">
        <f>J340/12</f>
        <v>13.3125</v>
      </c>
      <c r="K341" s="9" t="s">
        <v>39</v>
      </c>
      <c r="L341" s="98"/>
      <c r="N341" s="99" t="s">
        <v>123</v>
      </c>
      <c r="O341" s="9">
        <f>O340/12</f>
        <v>0</v>
      </c>
      <c r="P341" s="9" t="s">
        <v>39</v>
      </c>
      <c r="Q341" s="98"/>
      <c r="R341" s="99" t="s">
        <v>122</v>
      </c>
      <c r="S341" s="9">
        <f>S340/12</f>
        <v>0</v>
      </c>
      <c r="T341" s="9" t="s">
        <v>39</v>
      </c>
      <c r="U341" s="98"/>
      <c r="V341" s="88"/>
      <c r="W341" s="88"/>
      <c r="X341" s="88"/>
      <c r="Y341" s="88"/>
      <c r="Z341" s="88"/>
      <c r="AA341" s="88"/>
      <c r="AB341" s="88"/>
    </row>
    <row r="342" spans="1:70" ht="43.2" x14ac:dyDescent="0.3">
      <c r="B342">
        <v>514</v>
      </c>
      <c r="C342" s="87" t="s">
        <v>121</v>
      </c>
      <c r="D342" s="71" t="s">
        <v>120</v>
      </c>
      <c r="E342" t="s">
        <v>3</v>
      </c>
      <c r="F342" s="83">
        <f>N377</f>
        <v>52095.573148349467</v>
      </c>
      <c r="G342" s="53">
        <v>200</v>
      </c>
      <c r="H342" s="92">
        <f t="shared" si="0"/>
        <v>52295.573148349467</v>
      </c>
      <c r="AD342" s="43"/>
      <c r="AE342" s="97" t="s">
        <v>119</v>
      </c>
      <c r="AF342" s="42"/>
      <c r="AG342" s="42"/>
      <c r="AH342" s="42"/>
      <c r="AI342" s="42"/>
      <c r="AJ342" s="42"/>
      <c r="AK342" s="41"/>
      <c r="AM342" s="96" t="s">
        <v>118</v>
      </c>
      <c r="AN342" s="42"/>
      <c r="AO342" s="42"/>
      <c r="AP342" s="42"/>
      <c r="AQ342" s="42"/>
      <c r="AR342" s="42"/>
      <c r="AS342" s="42"/>
      <c r="AT342" s="42"/>
      <c r="AU342" s="42"/>
      <c r="AV342" s="41"/>
      <c r="AX342" s="96" t="s">
        <v>117</v>
      </c>
      <c r="AY342" s="42"/>
      <c r="AZ342" s="42"/>
      <c r="BA342" s="42"/>
      <c r="BB342" s="42"/>
      <c r="BC342" s="42"/>
      <c r="BD342" s="42"/>
      <c r="BE342" s="42"/>
      <c r="BF342" s="42"/>
      <c r="BG342" s="41"/>
      <c r="BI342" s="95" t="s">
        <v>117</v>
      </c>
      <c r="BJ342" s="39"/>
      <c r="BK342" s="39"/>
      <c r="BL342" s="39"/>
      <c r="BM342" s="39"/>
      <c r="BN342" s="39"/>
      <c r="BO342" s="39"/>
      <c r="BP342" s="39"/>
      <c r="BQ342" s="39"/>
      <c r="BR342" s="38"/>
    </row>
    <row r="343" spans="1:70" ht="57.6" x14ac:dyDescent="0.3">
      <c r="B343">
        <v>514</v>
      </c>
      <c r="C343" s="87" t="s">
        <v>116</v>
      </c>
      <c r="D343" s="71" t="s">
        <v>115</v>
      </c>
      <c r="E343" t="s">
        <v>3</v>
      </c>
      <c r="F343" s="83">
        <f>N377</f>
        <v>52095.573148349467</v>
      </c>
      <c r="G343" s="53">
        <v>200</v>
      </c>
      <c r="H343" s="92">
        <f t="shared" si="0"/>
        <v>52295.573148349467</v>
      </c>
      <c r="I343" s="9" t="s">
        <v>40</v>
      </c>
      <c r="J343" s="76">
        <f>0.75+379.5+0.75</f>
        <v>381</v>
      </c>
      <c r="K343" s="9" t="s">
        <v>39</v>
      </c>
      <c r="L343" s="9" t="s">
        <v>40</v>
      </c>
      <c r="M343" s="9"/>
      <c r="N343" s="9" t="s">
        <v>39</v>
      </c>
      <c r="O343" s="9" t="s">
        <v>40</v>
      </c>
      <c r="P343" s="9"/>
      <c r="Q343" s="9" t="s">
        <v>39</v>
      </c>
      <c r="R343" s="9" t="s">
        <v>39</v>
      </c>
      <c r="S343" s="9" t="s">
        <v>40</v>
      </c>
      <c r="T343" s="9"/>
      <c r="U343" s="9" t="s">
        <v>39</v>
      </c>
      <c r="V343" s="9" t="s">
        <v>40</v>
      </c>
      <c r="W343" s="9"/>
      <c r="X343" s="9" t="s">
        <v>39</v>
      </c>
      <c r="Y343" s="9" t="s">
        <v>40</v>
      </c>
      <c r="Z343" s="9"/>
      <c r="AA343" s="9" t="s">
        <v>39</v>
      </c>
      <c r="AD343" s="37"/>
      <c r="AF343" t="s">
        <v>69</v>
      </c>
      <c r="AH343" t="s">
        <v>220</v>
      </c>
      <c r="AJ343" s="94">
        <v>6.1</v>
      </c>
      <c r="AK343" s="53" t="s">
        <v>113</v>
      </c>
      <c r="AM343" s="37"/>
      <c r="AR343" t="s">
        <v>221</v>
      </c>
      <c r="AT343" s="94">
        <v>8.1999999999999993</v>
      </c>
      <c r="AU343" s="53" t="s">
        <v>113</v>
      </c>
      <c r="AV343" s="36"/>
      <c r="AX343" s="37"/>
      <c r="BC343" t="s">
        <v>221</v>
      </c>
      <c r="BE343" s="94">
        <v>8.1999999999999993</v>
      </c>
      <c r="BF343" s="53" t="s">
        <v>113</v>
      </c>
      <c r="BG343" s="36"/>
      <c r="BI343" s="21"/>
      <c r="BJ343" s="19"/>
      <c r="BK343" s="19"/>
      <c r="BL343" s="19"/>
      <c r="BM343" s="19"/>
      <c r="BN343" s="19" t="s">
        <v>114</v>
      </c>
      <c r="BO343" s="19"/>
      <c r="BP343" s="93">
        <v>8.1999999999999993</v>
      </c>
      <c r="BQ343" s="46" t="s">
        <v>113</v>
      </c>
      <c r="BR343" s="18"/>
    </row>
    <row r="344" spans="1:70" ht="43.2" x14ac:dyDescent="0.3">
      <c r="B344">
        <v>514</v>
      </c>
      <c r="C344" s="87" t="s">
        <v>112</v>
      </c>
      <c r="D344" s="71" t="s">
        <v>111</v>
      </c>
      <c r="E344" t="s">
        <v>3</v>
      </c>
      <c r="F344" s="83">
        <f>N377</f>
        <v>52095.573148349467</v>
      </c>
      <c r="G344" s="53">
        <v>200</v>
      </c>
      <c r="H344" s="92">
        <f t="shared" si="0"/>
        <v>52295.573148349467</v>
      </c>
      <c r="I344" s="91" t="s">
        <v>58</v>
      </c>
      <c r="J344" s="90" t="s">
        <v>110</v>
      </c>
      <c r="K344" s="91"/>
      <c r="L344" s="91" t="s">
        <v>58</v>
      </c>
      <c r="M344" s="90" t="s">
        <v>109</v>
      </c>
      <c r="N344" s="91"/>
      <c r="O344" s="91" t="s">
        <v>58</v>
      </c>
      <c r="P344" s="90"/>
      <c r="Q344" s="91"/>
      <c r="R344" s="89"/>
      <c r="S344" s="91" t="s">
        <v>58</v>
      </c>
      <c r="T344" s="90"/>
      <c r="U344" s="91"/>
      <c r="V344" s="91" t="s">
        <v>58</v>
      </c>
      <c r="W344" s="90"/>
      <c r="X344" s="89"/>
      <c r="Y344" s="91" t="s">
        <v>58</v>
      </c>
      <c r="Z344" s="90"/>
      <c r="AA344" s="89"/>
      <c r="AB344" s="88"/>
      <c r="AD344" s="37"/>
      <c r="AI344" s="79"/>
      <c r="AK344" s="36"/>
      <c r="AM344" s="37"/>
      <c r="AQ344" s="53"/>
      <c r="AR344" s="53"/>
      <c r="AS344" s="53"/>
      <c r="AV344" s="36"/>
      <c r="AX344" s="37"/>
      <c r="BB344" s="53"/>
      <c r="BC344" s="53"/>
      <c r="BD344" s="53"/>
      <c r="BG344" s="36"/>
      <c r="BI344" s="21"/>
      <c r="BJ344" s="19"/>
      <c r="BK344" s="19"/>
      <c r="BL344" s="19"/>
      <c r="BM344" s="46"/>
      <c r="BN344" s="46"/>
      <c r="BO344" s="46"/>
      <c r="BP344" s="19"/>
      <c r="BQ344" s="19"/>
      <c r="BR344" s="18"/>
    </row>
    <row r="345" spans="1:70" ht="43.2" x14ac:dyDescent="0.3">
      <c r="B345">
        <v>514</v>
      </c>
      <c r="C345" s="87" t="s">
        <v>108</v>
      </c>
      <c r="D345" s="25" t="s">
        <v>107</v>
      </c>
      <c r="E345" t="s">
        <v>106</v>
      </c>
      <c r="F345" s="53">
        <f>ROUNDUP(K347*K349/60,0)</f>
        <v>39</v>
      </c>
      <c r="G345" s="53">
        <v>0</v>
      </c>
      <c r="H345" s="86">
        <f t="shared" si="0"/>
        <v>39</v>
      </c>
      <c r="I345" s="9" t="s">
        <v>38</v>
      </c>
      <c r="J345" s="9">
        <f>J343*J341</f>
        <v>5072.0625</v>
      </c>
      <c r="K345" s="9" t="s">
        <v>37</v>
      </c>
      <c r="L345" s="9" t="s">
        <v>38</v>
      </c>
      <c r="M345" s="9">
        <f>M343*J341</f>
        <v>0</v>
      </c>
      <c r="N345" s="9" t="s">
        <v>37</v>
      </c>
      <c r="O345" s="9" t="s">
        <v>38</v>
      </c>
      <c r="P345" s="9">
        <f>P343*J341</f>
        <v>0</v>
      </c>
      <c r="Q345" s="9" t="s">
        <v>37</v>
      </c>
      <c r="R345" s="9" t="s">
        <v>37</v>
      </c>
      <c r="S345" s="9" t="s">
        <v>38</v>
      </c>
      <c r="T345" s="9">
        <f>T343*J341</f>
        <v>0</v>
      </c>
      <c r="U345" s="9" t="s">
        <v>37</v>
      </c>
      <c r="V345" s="9" t="s">
        <v>38</v>
      </c>
      <c r="W345" s="9">
        <f>W343*S341</f>
        <v>0</v>
      </c>
      <c r="X345" s="9" t="s">
        <v>37</v>
      </c>
      <c r="Y345" s="9" t="s">
        <v>38</v>
      </c>
      <c r="Z345" s="9">
        <f>Z343*S341</f>
        <v>0</v>
      </c>
      <c r="AA345" s="9" t="s">
        <v>37</v>
      </c>
      <c r="AD345" s="37"/>
      <c r="AE345" t="s">
        <v>68</v>
      </c>
      <c r="AF345" s="85">
        <v>9.5832999999999995</v>
      </c>
      <c r="AG345" s="59" t="s">
        <v>39</v>
      </c>
      <c r="AH345" s="59"/>
      <c r="AK345" s="36"/>
      <c r="AM345" s="186" t="s">
        <v>105</v>
      </c>
      <c r="AN345" s="187"/>
      <c r="AO345" s="187"/>
      <c r="AP345" s="187"/>
      <c r="AQ345" s="187"/>
      <c r="AR345" s="187"/>
      <c r="AS345" s="187"/>
      <c r="AV345" s="36"/>
      <c r="AX345" s="186" t="s">
        <v>104</v>
      </c>
      <c r="AY345" s="187"/>
      <c r="AZ345" s="187"/>
      <c r="BA345" s="187"/>
      <c r="BB345" s="187"/>
      <c r="BC345" s="187"/>
      <c r="BD345" s="187"/>
      <c r="BG345" s="36"/>
      <c r="BI345" s="190" t="s">
        <v>103</v>
      </c>
      <c r="BJ345" s="191"/>
      <c r="BK345" s="191"/>
      <c r="BL345" s="191"/>
      <c r="BM345" s="191"/>
      <c r="BN345" s="191"/>
      <c r="BO345" s="191"/>
      <c r="BP345" s="19"/>
      <c r="BQ345" s="19"/>
      <c r="BR345" s="18"/>
    </row>
    <row r="346" spans="1:70" ht="29.4" x14ac:dyDescent="0.35">
      <c r="B346">
        <v>514</v>
      </c>
      <c r="C346" s="84">
        <v>10000</v>
      </c>
      <c r="D346" s="25" t="s">
        <v>102</v>
      </c>
      <c r="E346" t="s">
        <v>0</v>
      </c>
      <c r="F346" s="83">
        <f>ROUNDUP(MAX(F341/2400,(K347*K349/300)),0)</f>
        <v>22</v>
      </c>
      <c r="G346" s="82">
        <f>ROUNDUP(G341/2400,0)</f>
        <v>1</v>
      </c>
      <c r="H346" s="81">
        <f t="shared" si="0"/>
        <v>23</v>
      </c>
      <c r="I346" s="9" t="s">
        <v>54</v>
      </c>
      <c r="J346" s="33">
        <f>J345*1.1</f>
        <v>5579.2687500000002</v>
      </c>
      <c r="K346" s="9" t="s">
        <v>37</v>
      </c>
      <c r="L346" s="9" t="s">
        <v>54</v>
      </c>
      <c r="M346" s="33">
        <f>M345*1.1</f>
        <v>0</v>
      </c>
      <c r="N346" s="9" t="s">
        <v>37</v>
      </c>
      <c r="O346" s="9" t="s">
        <v>54</v>
      </c>
      <c r="P346" s="33">
        <f>P345*1.1</f>
        <v>0</v>
      </c>
      <c r="Q346" s="9" t="s">
        <v>37</v>
      </c>
      <c r="R346" s="9" t="s">
        <v>37</v>
      </c>
      <c r="S346" s="9" t="s">
        <v>54</v>
      </c>
      <c r="T346" s="33">
        <f>T345*1.1</f>
        <v>0</v>
      </c>
      <c r="U346" s="9" t="s">
        <v>37</v>
      </c>
      <c r="V346" s="9" t="s">
        <v>54</v>
      </c>
      <c r="W346" s="33">
        <f>W345*1.1</f>
        <v>0</v>
      </c>
      <c r="X346" s="9" t="s">
        <v>37</v>
      </c>
      <c r="Y346" s="9" t="s">
        <v>54</v>
      </c>
      <c r="Z346" s="33">
        <f>Z345*1.1</f>
        <v>0</v>
      </c>
      <c r="AA346" s="9" t="s">
        <v>37</v>
      </c>
      <c r="AD346" s="37" t="s">
        <v>223</v>
      </c>
      <c r="AE346" s="53" t="s">
        <v>66</v>
      </c>
      <c r="AF346" s="80">
        <v>54</v>
      </c>
      <c r="AG346" t="s">
        <v>64</v>
      </c>
      <c r="AI346" s="79" t="s">
        <v>65</v>
      </c>
      <c r="AJ346" s="80">
        <v>0</v>
      </c>
      <c r="AK346" s="36" t="s">
        <v>64</v>
      </c>
      <c r="AM346" s="54"/>
      <c r="AN346" s="53"/>
      <c r="AO346" s="53" t="s">
        <v>69</v>
      </c>
      <c r="AP346" s="53" t="s">
        <v>101</v>
      </c>
      <c r="AQ346" s="53" t="s">
        <v>100</v>
      </c>
      <c r="AR346" s="53"/>
      <c r="AS346" s="53"/>
      <c r="AT346" s="79" t="s">
        <v>65</v>
      </c>
      <c r="AU346" s="80">
        <v>0</v>
      </c>
      <c r="AV346" s="36" t="s">
        <v>64</v>
      </c>
      <c r="AX346" s="54"/>
      <c r="AY346" s="53"/>
      <c r="AZ346" s="53" t="s">
        <v>69</v>
      </c>
      <c r="BA346" s="53" t="s">
        <v>101</v>
      </c>
      <c r="BB346" s="53" t="s">
        <v>100</v>
      </c>
      <c r="BC346" s="53"/>
      <c r="BD346" s="53"/>
      <c r="BE346" s="79" t="s">
        <v>65</v>
      </c>
      <c r="BF346">
        <v>0</v>
      </c>
      <c r="BG346" s="36" t="s">
        <v>64</v>
      </c>
      <c r="BI346" s="52"/>
      <c r="BJ346" s="46"/>
      <c r="BK346" s="46" t="s">
        <v>69</v>
      </c>
      <c r="BL346" s="46" t="s">
        <v>101</v>
      </c>
      <c r="BM346" s="46" t="s">
        <v>100</v>
      </c>
      <c r="BN346" s="46"/>
      <c r="BO346" s="46"/>
      <c r="BP346" s="45" t="s">
        <v>65</v>
      </c>
      <c r="BQ346" s="19">
        <v>2</v>
      </c>
      <c r="BR346" s="18" t="s">
        <v>64</v>
      </c>
    </row>
    <row r="347" spans="1:70" x14ac:dyDescent="0.3">
      <c r="I347" s="32" t="s">
        <v>99</v>
      </c>
      <c r="J347" s="12"/>
      <c r="K347" s="9">
        <f>1*J343+1*M343+1*P343+1*T343+1*W343+1*Z343</f>
        <v>381</v>
      </c>
      <c r="L347" s="9" t="s">
        <v>39</v>
      </c>
      <c r="AD347" s="37"/>
      <c r="AF347">
        <f>AF346/12</f>
        <v>4.5</v>
      </c>
      <c r="AG347" t="s">
        <v>39</v>
      </c>
      <c r="AI347" s="79"/>
      <c r="AK347" s="36"/>
      <c r="AM347" s="54"/>
      <c r="AN347" s="53" t="s">
        <v>68</v>
      </c>
      <c r="AO347" s="77">
        <v>22.995000000000001</v>
      </c>
      <c r="AP347" s="53">
        <f>AO347/3</f>
        <v>7.665</v>
      </c>
      <c r="AQ347" s="53">
        <f>AO347/6</f>
        <v>3.8325</v>
      </c>
      <c r="AR347" s="53"/>
      <c r="AS347" s="53"/>
      <c r="AT347" t="s">
        <v>64</v>
      </c>
      <c r="AV347" s="36"/>
      <c r="AX347" s="54"/>
      <c r="AY347" s="53" t="s">
        <v>68</v>
      </c>
      <c r="AZ347" s="53">
        <v>22.995000000000001</v>
      </c>
      <c r="BA347" s="53">
        <f>AZ347/3</f>
        <v>7.665</v>
      </c>
      <c r="BB347" s="53">
        <f>AZ347/6</f>
        <v>3.8325</v>
      </c>
      <c r="BC347" s="53"/>
      <c r="BD347" s="53"/>
      <c r="BE347" t="s">
        <v>64</v>
      </c>
      <c r="BG347" s="36"/>
      <c r="BI347" s="52"/>
      <c r="BJ347" s="46" t="s">
        <v>68</v>
      </c>
      <c r="BK347" s="46">
        <v>0</v>
      </c>
      <c r="BL347" s="46">
        <f>BK347/3</f>
        <v>0</v>
      </c>
      <c r="BM347" s="46">
        <f>BK347/6</f>
        <v>0</v>
      </c>
      <c r="BN347" s="46"/>
      <c r="BO347" s="46"/>
      <c r="BP347" s="19" t="s">
        <v>64</v>
      </c>
      <c r="BQ347" s="19"/>
      <c r="BR347" s="18"/>
    </row>
    <row r="348" spans="1:70" x14ac:dyDescent="0.3">
      <c r="I348" s="32" t="s">
        <v>98</v>
      </c>
      <c r="J348" s="11"/>
      <c r="K348" s="78">
        <f>J346+M346+P346+T346+W346+Z346</f>
        <v>5579.2687500000002</v>
      </c>
      <c r="L348" s="9" t="s">
        <v>37</v>
      </c>
      <c r="AD348" s="37"/>
      <c r="AK348" s="36"/>
      <c r="AM348" s="54"/>
      <c r="AN348" s="53" t="s">
        <v>97</v>
      </c>
      <c r="AO348" s="77">
        <v>54</v>
      </c>
      <c r="AP348" s="73" t="s">
        <v>64</v>
      </c>
      <c r="AQ348" s="53"/>
      <c r="AR348" s="53"/>
      <c r="AS348" s="53"/>
      <c r="AT348" t="s">
        <v>64</v>
      </c>
      <c r="AV348" s="36"/>
      <c r="AX348" s="54"/>
      <c r="AY348" s="53" t="s">
        <v>97</v>
      </c>
      <c r="AZ348" s="53">
        <v>54</v>
      </c>
      <c r="BA348" s="73" t="s">
        <v>64</v>
      </c>
      <c r="BB348" s="53"/>
      <c r="BC348" s="53"/>
      <c r="BD348" s="53"/>
      <c r="BE348" t="s">
        <v>64</v>
      </c>
      <c r="BG348" s="36"/>
      <c r="BI348" s="52"/>
      <c r="BJ348" s="46" t="s">
        <v>97</v>
      </c>
      <c r="BK348" s="46">
        <v>0</v>
      </c>
      <c r="BL348" s="72" t="s">
        <v>64</v>
      </c>
      <c r="BM348" s="46"/>
      <c r="BN348" s="46"/>
      <c r="BO348" s="46"/>
      <c r="BP348" s="19" t="s">
        <v>64</v>
      </c>
      <c r="BQ348" s="19"/>
      <c r="BR348" s="18"/>
    </row>
    <row r="349" spans="1:70" x14ac:dyDescent="0.3">
      <c r="I349" s="32" t="s">
        <v>96</v>
      </c>
      <c r="J349" s="11"/>
      <c r="K349" s="76">
        <v>6</v>
      </c>
      <c r="L349" s="9"/>
      <c r="AD349" s="37"/>
      <c r="AK349" s="36"/>
      <c r="AM349" s="54"/>
      <c r="AN349" s="53"/>
      <c r="AO349" s="53">
        <f>AO348/12</f>
        <v>4.5</v>
      </c>
      <c r="AP349" s="73" t="s">
        <v>39</v>
      </c>
      <c r="AQ349" s="65">
        <f>AN353^2+AN356^2</f>
        <v>77.535781</v>
      </c>
      <c r="AR349" s="53"/>
      <c r="AS349" s="65">
        <f>AN353^2+AO356^2</f>
        <v>33.47161225</v>
      </c>
      <c r="AT349" t="s">
        <v>64</v>
      </c>
      <c r="AV349" s="36"/>
      <c r="AX349" s="54"/>
      <c r="AY349" s="53"/>
      <c r="AZ349" s="53">
        <f>AZ348/12</f>
        <v>4.5</v>
      </c>
      <c r="BA349" s="73" t="s">
        <v>39</v>
      </c>
      <c r="BB349" s="65">
        <f>AY353^2+AY356^2</f>
        <v>77.535781</v>
      </c>
      <c r="BC349" s="53"/>
      <c r="BD349" s="65">
        <f>AY353^2+AZ356^2</f>
        <v>33.47161225</v>
      </c>
      <c r="BE349" t="s">
        <v>64</v>
      </c>
      <c r="BG349" s="36"/>
      <c r="BI349" s="52"/>
      <c r="BJ349" s="46"/>
      <c r="BK349" s="46">
        <f>BK348/12</f>
        <v>0</v>
      </c>
      <c r="BL349" s="72" t="s">
        <v>39</v>
      </c>
      <c r="BM349" s="46">
        <f>BJ353^2+BJ356^2</f>
        <v>0</v>
      </c>
      <c r="BN349" s="46"/>
      <c r="BO349" s="64">
        <f>BJ353^2+BK356^2</f>
        <v>0</v>
      </c>
      <c r="BP349" s="19" t="s">
        <v>64</v>
      </c>
      <c r="BQ349" s="19"/>
      <c r="BR349" s="18"/>
    </row>
    <row r="350" spans="1:70" ht="43.2" x14ac:dyDescent="0.3">
      <c r="I350" s="74" t="s">
        <v>95</v>
      </c>
      <c r="J350" s="11"/>
      <c r="K350" s="75">
        <f>K348*K349</f>
        <v>33475.612500000003</v>
      </c>
      <c r="L350" s="9" t="s">
        <v>37</v>
      </c>
      <c r="N350" s="74" t="s">
        <v>225</v>
      </c>
      <c r="O350" s="30">
        <f>48*(18*(24*4))/144</f>
        <v>576</v>
      </c>
      <c r="P350" s="11" t="s">
        <v>44</v>
      </c>
      <c r="AD350" s="37"/>
      <c r="AG350">
        <f>SQRT((AG355)^2+(AE351)^2)</f>
        <v>10.517508946989301</v>
      </c>
      <c r="AH350" t="s">
        <v>6</v>
      </c>
      <c r="AK350" s="36"/>
      <c r="AM350" s="54"/>
      <c r="AN350" s="53"/>
      <c r="AO350" s="53"/>
      <c r="AP350" s="73"/>
      <c r="AQ350" s="53"/>
      <c r="AR350" s="53"/>
      <c r="AS350" s="53"/>
      <c r="AV350" s="36"/>
      <c r="AX350" s="54"/>
      <c r="AY350" s="53"/>
      <c r="AZ350" s="53"/>
      <c r="BA350" s="73"/>
      <c r="BB350" s="53"/>
      <c r="BC350" s="53"/>
      <c r="BD350" s="53"/>
      <c r="BG350" s="36"/>
      <c r="BI350" s="52"/>
      <c r="BJ350" s="46"/>
      <c r="BK350" s="46"/>
      <c r="BL350" s="72"/>
      <c r="BM350" s="46"/>
      <c r="BN350" s="46"/>
      <c r="BO350" s="46"/>
      <c r="BP350" s="19"/>
      <c r="BQ350" s="19"/>
      <c r="BR350" s="18"/>
    </row>
    <row r="351" spans="1:70" x14ac:dyDescent="0.3">
      <c r="I351" s="71"/>
      <c r="AD351" s="37"/>
      <c r="AE351">
        <f>AF347-2*(AJ346/12+0.0833)</f>
        <v>4.3334000000000001</v>
      </c>
      <c r="AF351" t="s">
        <v>6</v>
      </c>
      <c r="AK351" s="36"/>
      <c r="AM351" s="54"/>
      <c r="AN351" s="53"/>
      <c r="AO351" s="53"/>
      <c r="AP351" s="53"/>
      <c r="AQ351" s="53"/>
      <c r="AR351" s="53"/>
      <c r="AS351" s="53"/>
      <c r="AU351">
        <v>1.1659999999999999</v>
      </c>
      <c r="AV351" s="36" t="s">
        <v>48</v>
      </c>
      <c r="AX351" s="54"/>
      <c r="AY351" s="53"/>
      <c r="AZ351" s="53"/>
      <c r="BA351" s="53"/>
      <c r="BB351" s="53"/>
      <c r="BC351" s="53"/>
      <c r="BD351" s="53"/>
      <c r="BF351">
        <v>1.1659999999999999</v>
      </c>
      <c r="BG351" s="36" t="s">
        <v>48</v>
      </c>
      <c r="BI351" s="52"/>
      <c r="BJ351" s="46"/>
      <c r="BK351" s="46"/>
      <c r="BL351" s="46"/>
      <c r="BM351" s="46"/>
      <c r="BN351" s="46"/>
      <c r="BO351" s="46"/>
      <c r="BP351" s="19"/>
      <c r="BQ351" s="19">
        <v>1.1659999999999999</v>
      </c>
      <c r="BR351" s="18" t="s">
        <v>48</v>
      </c>
    </row>
    <row r="352" spans="1:70" x14ac:dyDescent="0.3">
      <c r="I352" s="43" t="s">
        <v>94</v>
      </c>
      <c r="J352" s="42"/>
      <c r="K352" s="42">
        <f>(6+6)*54/144</f>
        <v>4.5</v>
      </c>
      <c r="L352" s="41" t="s">
        <v>44</v>
      </c>
      <c r="M352" s="43" t="s">
        <v>93</v>
      </c>
      <c r="N352" s="42"/>
      <c r="O352" s="42"/>
      <c r="P352" s="41"/>
      <c r="Q352" s="43" t="s">
        <v>92</v>
      </c>
      <c r="R352" s="42"/>
      <c r="S352" s="42"/>
      <c r="T352" s="41"/>
      <c r="AD352" s="37"/>
      <c r="AE352">
        <f>AE351*12</f>
        <v>52.000799999999998</v>
      </c>
      <c r="AK352" s="36"/>
      <c r="AM352" s="54"/>
      <c r="AN352" s="53"/>
      <c r="AO352" s="65">
        <f>SQRT(AS349)</f>
        <v>5.7854656035620851</v>
      </c>
      <c r="AP352" s="65"/>
      <c r="AQ352" s="53"/>
      <c r="AR352" s="65">
        <f>AM353</f>
        <v>8.80544042055819</v>
      </c>
      <c r="AS352" s="53"/>
      <c r="AU352" s="8">
        <f>0.33*AU351*2</f>
        <v>0.76956000000000002</v>
      </c>
      <c r="AV352" s="36" t="s">
        <v>44</v>
      </c>
      <c r="AX352" s="54"/>
      <c r="AY352" s="53"/>
      <c r="AZ352" s="65">
        <f>SQRT(BD349)</f>
        <v>5.7854656035620851</v>
      </c>
      <c r="BA352" s="65"/>
      <c r="BB352" s="53"/>
      <c r="BC352" s="65">
        <f>AX353</f>
        <v>8.80544042055819</v>
      </c>
      <c r="BD352" s="53"/>
      <c r="BF352" s="8">
        <f>0.33*BF351*2</f>
        <v>0.76956000000000002</v>
      </c>
      <c r="BG352" s="36" t="s">
        <v>44</v>
      </c>
      <c r="BI352" s="52"/>
      <c r="BJ352" s="46"/>
      <c r="BK352" s="64">
        <f>SQRT(BO349)</f>
        <v>0</v>
      </c>
      <c r="BL352" s="64"/>
      <c r="BM352" s="46"/>
      <c r="BN352" s="64">
        <f>BI353</f>
        <v>0</v>
      </c>
      <c r="BO352" s="46"/>
      <c r="BP352" s="19"/>
      <c r="BQ352" s="22">
        <f>0.33*BQ351*2</f>
        <v>0.76956000000000002</v>
      </c>
      <c r="BR352" s="18" t="s">
        <v>44</v>
      </c>
    </row>
    <row r="353" spans="9:70" x14ac:dyDescent="0.3">
      <c r="I353" s="37" t="s">
        <v>87</v>
      </c>
      <c r="K353">
        <f>89*2*6</f>
        <v>1068</v>
      </c>
      <c r="L353" s="36" t="s">
        <v>85</v>
      </c>
      <c r="M353" s="37" t="s">
        <v>91</v>
      </c>
      <c r="O353">
        <f>((5+5)*(56+90)/2)/144</f>
        <v>5.0694444444444446</v>
      </c>
      <c r="P353" s="36" t="s">
        <v>44</v>
      </c>
      <c r="Q353" s="37" t="s">
        <v>91</v>
      </c>
      <c r="S353">
        <f>((5+5)*(55)/144)</f>
        <v>3.8194444444444446</v>
      </c>
      <c r="T353" s="36" t="s">
        <v>44</v>
      </c>
      <c r="AD353" s="37"/>
      <c r="AK353" s="36"/>
      <c r="AM353" s="70">
        <f>SQRT(AQ349)</f>
        <v>8.80544042055819</v>
      </c>
      <c r="AN353" s="69">
        <f>AO349-2*(AU346/12+0.083)</f>
        <v>4.3339999999999996</v>
      </c>
      <c r="AO353" s="53"/>
      <c r="AP353" s="53"/>
      <c r="AQ353" s="53"/>
      <c r="AR353" s="53"/>
      <c r="AS353" s="53"/>
      <c r="AU353">
        <v>7</v>
      </c>
      <c r="AV353" s="36" t="s">
        <v>48</v>
      </c>
      <c r="AX353" s="70">
        <f>SQRT(BB349)</f>
        <v>8.80544042055819</v>
      </c>
      <c r="AY353" s="69">
        <f>AZ349-2*(BF346/12+0.083)</f>
        <v>4.3339999999999996</v>
      </c>
      <c r="AZ353" s="53"/>
      <c r="BA353" s="53"/>
      <c r="BB353" s="53"/>
      <c r="BC353" s="53"/>
      <c r="BD353" s="53"/>
      <c r="BF353">
        <v>7</v>
      </c>
      <c r="BG353" s="36" t="s">
        <v>48</v>
      </c>
      <c r="BI353" s="68">
        <f>SQRT(BM349)</f>
        <v>0</v>
      </c>
      <c r="BJ353" s="67">
        <f>BK349</f>
        <v>0</v>
      </c>
      <c r="BK353" s="46"/>
      <c r="BL353" s="46"/>
      <c r="BM353" s="46"/>
      <c r="BN353" s="46"/>
      <c r="BO353" s="46"/>
      <c r="BP353" s="19"/>
      <c r="BQ353" s="19">
        <v>7</v>
      </c>
      <c r="BR353" s="18" t="s">
        <v>48</v>
      </c>
    </row>
    <row r="354" spans="9:70" x14ac:dyDescent="0.3">
      <c r="I354" s="37" t="s">
        <v>80</v>
      </c>
      <c r="K354" s="3">
        <f>K352*K353</f>
        <v>4806</v>
      </c>
      <c r="L354" s="36" t="s">
        <v>44</v>
      </c>
      <c r="M354" s="37" t="s">
        <v>87</v>
      </c>
      <c r="O354">
        <v>0</v>
      </c>
      <c r="P354" s="36" t="s">
        <v>85</v>
      </c>
      <c r="Q354" s="37" t="s">
        <v>87</v>
      </c>
      <c r="S354">
        <v>0</v>
      </c>
      <c r="T354" s="36" t="s">
        <v>85</v>
      </c>
      <c r="AD354" s="37"/>
      <c r="AK354" s="36"/>
      <c r="AM354" s="54"/>
      <c r="AN354" s="53"/>
      <c r="AO354" s="53"/>
      <c r="AP354" s="53"/>
      <c r="AQ354" s="53"/>
      <c r="AR354" s="53"/>
      <c r="AS354" s="53"/>
      <c r="AU354" s="8">
        <f>0.33*AU353*2</f>
        <v>4.62</v>
      </c>
      <c r="AV354" s="36" t="s">
        <v>44</v>
      </c>
      <c r="AX354" s="54"/>
      <c r="AY354" s="53"/>
      <c r="AZ354" s="53"/>
      <c r="BA354" s="53"/>
      <c r="BB354" s="53"/>
      <c r="BC354" s="53"/>
      <c r="BD354" s="53"/>
      <c r="BF354" s="8">
        <f>0.33*BF353*2</f>
        <v>4.62</v>
      </c>
      <c r="BG354" s="36" t="s">
        <v>44</v>
      </c>
      <c r="BI354" s="52"/>
      <c r="BJ354" s="46"/>
      <c r="BK354" s="46"/>
      <c r="BL354" s="46"/>
      <c r="BM354" s="46"/>
      <c r="BN354" s="46"/>
      <c r="BO354" s="46"/>
      <c r="BP354" s="19"/>
      <c r="BQ354" s="22">
        <f>0.33*BQ353*2</f>
        <v>4.62</v>
      </c>
      <c r="BR354" s="18" t="s">
        <v>44</v>
      </c>
    </row>
    <row r="355" spans="9:70" x14ac:dyDescent="0.3">
      <c r="I355" s="35" t="s">
        <v>78</v>
      </c>
      <c r="J355" s="6"/>
      <c r="K355" s="6"/>
      <c r="L355" s="34"/>
      <c r="M355" s="35" t="s">
        <v>80</v>
      </c>
      <c r="N355" s="6"/>
      <c r="O355" s="66">
        <f>O353*O354</f>
        <v>0</v>
      </c>
      <c r="P355" s="34" t="s">
        <v>44</v>
      </c>
      <c r="Q355" s="35" t="s">
        <v>80</v>
      </c>
      <c r="R355" s="6"/>
      <c r="S355" s="66">
        <f>S353*S354</f>
        <v>0</v>
      </c>
      <c r="T355" s="34" t="s">
        <v>44</v>
      </c>
      <c r="AD355" s="37"/>
      <c r="AG355" s="59">
        <f>AF345</f>
        <v>9.5832999999999995</v>
      </c>
      <c r="AK355" s="36"/>
      <c r="AM355" s="54"/>
      <c r="AN355" s="53"/>
      <c r="AO355" s="53"/>
      <c r="AP355" s="53"/>
      <c r="AQ355" s="53"/>
      <c r="AR355" s="53"/>
      <c r="AS355" s="53"/>
      <c r="AV355" s="36"/>
      <c r="AX355" s="54"/>
      <c r="AY355" s="53"/>
      <c r="AZ355" s="53"/>
      <c r="BA355" s="53"/>
      <c r="BB355" s="53"/>
      <c r="BC355" s="53"/>
      <c r="BD355" s="53"/>
      <c r="BG355" s="36"/>
      <c r="BI355" s="52"/>
      <c r="BJ355" s="46"/>
      <c r="BK355" s="46"/>
      <c r="BL355" s="46"/>
      <c r="BM355" s="46"/>
      <c r="BN355" s="46"/>
      <c r="BO355" s="46"/>
      <c r="BP355" s="19"/>
      <c r="BQ355" s="19"/>
      <c r="BR355" s="18"/>
    </row>
    <row r="356" spans="9:70" x14ac:dyDescent="0.3">
      <c r="AD356" s="37"/>
      <c r="AK356" s="36"/>
      <c r="AM356" s="54"/>
      <c r="AN356" s="65">
        <f>AO347/3</f>
        <v>7.665</v>
      </c>
      <c r="AO356" s="65">
        <f>AN356/2</f>
        <v>3.8325</v>
      </c>
      <c r="AP356" s="53"/>
      <c r="AQ356" s="53"/>
      <c r="AR356" s="53"/>
      <c r="AS356" s="53"/>
      <c r="AV356" s="36"/>
      <c r="AX356" s="54"/>
      <c r="AY356" s="65">
        <f>AZ347/3</f>
        <v>7.665</v>
      </c>
      <c r="AZ356" s="65">
        <f>AY356/2</f>
        <v>3.8325</v>
      </c>
      <c r="BA356" s="53"/>
      <c r="BB356" s="53"/>
      <c r="BC356" s="53"/>
      <c r="BD356" s="53"/>
      <c r="BG356" s="36"/>
      <c r="BI356" s="52"/>
      <c r="BJ356" s="64">
        <f>BK347/3</f>
        <v>0</v>
      </c>
      <c r="BK356" s="64">
        <f>BJ356/2</f>
        <v>0</v>
      </c>
      <c r="BL356" s="46"/>
      <c r="BM356" s="46"/>
      <c r="BN356" s="46"/>
      <c r="BO356" s="46"/>
      <c r="BP356" s="19"/>
      <c r="BQ356" s="19"/>
      <c r="BR356" s="18"/>
    </row>
    <row r="357" spans="9:70" x14ac:dyDescent="0.3">
      <c r="I357" s="43" t="s">
        <v>90</v>
      </c>
      <c r="J357" s="42"/>
      <c r="K357" s="63">
        <f>(8+8)*54/144</f>
        <v>6</v>
      </c>
      <c r="L357" s="41" t="s">
        <v>44</v>
      </c>
      <c r="M357" s="43" t="s">
        <v>89</v>
      </c>
      <c r="N357" s="42"/>
      <c r="O357" s="42">
        <f>(8+8)*54/144</f>
        <v>6</v>
      </c>
      <c r="P357" s="41" t="s">
        <v>44</v>
      </c>
      <c r="Q357" s="43" t="s">
        <v>88</v>
      </c>
      <c r="R357" s="42"/>
      <c r="S357" s="42">
        <f>PI()*(0.67)*8</f>
        <v>16.838936623241292</v>
      </c>
      <c r="T357" s="41" t="s">
        <v>44</v>
      </c>
      <c r="AD357" s="37" t="s">
        <v>49</v>
      </c>
      <c r="AG357" s="59">
        <f>(1*AG355)+(2*AG350)</f>
        <v>30.618317893978599</v>
      </c>
      <c r="AH357" t="s">
        <v>48</v>
      </c>
      <c r="AK357" s="36"/>
      <c r="AM357" s="51"/>
      <c r="AN357" s="50"/>
      <c r="AO357" s="50"/>
      <c r="AP357" s="50"/>
      <c r="AQ357" s="50"/>
      <c r="AR357" s="50"/>
      <c r="AS357" s="50"/>
      <c r="AT357" s="6"/>
      <c r="AU357" s="6"/>
      <c r="AV357" s="34"/>
      <c r="AX357" s="51"/>
      <c r="AY357" s="50"/>
      <c r="AZ357" s="50"/>
      <c r="BA357" s="50"/>
      <c r="BB357" s="50"/>
      <c r="BC357" s="50"/>
      <c r="BD357" s="50"/>
      <c r="BE357" s="6"/>
      <c r="BF357" s="6"/>
      <c r="BG357" s="34"/>
      <c r="BI357" s="49"/>
      <c r="BJ357" s="48"/>
      <c r="BK357" s="48"/>
      <c r="BL357" s="48"/>
      <c r="BM357" s="48"/>
      <c r="BN357" s="48"/>
      <c r="BO357" s="48"/>
      <c r="BP357" s="16"/>
      <c r="BQ357" s="16"/>
      <c r="BR357" s="15"/>
    </row>
    <row r="358" spans="9:70" x14ac:dyDescent="0.3">
      <c r="I358" s="37" t="s">
        <v>87</v>
      </c>
      <c r="K358">
        <f>(2*6)*2</f>
        <v>24</v>
      </c>
      <c r="L358" s="36" t="s">
        <v>85</v>
      </c>
      <c r="M358" s="37" t="s">
        <v>87</v>
      </c>
      <c r="O358">
        <v>36</v>
      </c>
      <c r="P358" s="36" t="s">
        <v>85</v>
      </c>
      <c r="Q358" s="37" t="s">
        <v>86</v>
      </c>
      <c r="S358">
        <f>15*4</f>
        <v>60</v>
      </c>
      <c r="T358" s="36" t="s">
        <v>85</v>
      </c>
      <c r="AD358" s="37"/>
      <c r="AK358" s="36"/>
      <c r="AM358" s="58"/>
      <c r="AN358" s="57"/>
      <c r="AO358" s="57" t="s">
        <v>82</v>
      </c>
      <c r="AP358" s="62" t="s">
        <v>84</v>
      </c>
      <c r="AQ358" s="57"/>
      <c r="AR358" s="57"/>
      <c r="AS358" s="57"/>
      <c r="AT358" s="42"/>
      <c r="AU358" s="42"/>
      <c r="AV358" s="41"/>
      <c r="AX358" s="58"/>
      <c r="AY358" s="57"/>
      <c r="AZ358" s="57" t="s">
        <v>82</v>
      </c>
      <c r="BA358" s="62" t="s">
        <v>83</v>
      </c>
      <c r="BB358" s="57"/>
      <c r="BC358" s="57"/>
      <c r="BD358" s="57"/>
      <c r="BE358" s="42"/>
      <c r="BF358" s="42"/>
      <c r="BG358" s="41"/>
      <c r="BI358" s="56"/>
      <c r="BJ358" s="55"/>
      <c r="BK358" s="55" t="s">
        <v>82</v>
      </c>
      <c r="BL358" s="61" t="s">
        <v>81</v>
      </c>
      <c r="BM358" s="55"/>
      <c r="BN358" s="55"/>
      <c r="BO358" s="55"/>
      <c r="BP358" s="39"/>
      <c r="BQ358" s="39"/>
      <c r="BR358" s="38"/>
    </row>
    <row r="359" spans="9:70" x14ac:dyDescent="0.3">
      <c r="I359" s="37" t="s">
        <v>80</v>
      </c>
      <c r="K359" s="3">
        <f>K357*K358</f>
        <v>144</v>
      </c>
      <c r="L359" s="36" t="s">
        <v>44</v>
      </c>
      <c r="M359" s="37" t="s">
        <v>80</v>
      </c>
      <c r="O359" s="3">
        <f>O357*O358</f>
        <v>216</v>
      </c>
      <c r="P359" s="36" t="s">
        <v>44</v>
      </c>
      <c r="Q359" s="37" t="s">
        <v>80</v>
      </c>
      <c r="S359" s="3">
        <f>S357*S358</f>
        <v>1010.3361973944775</v>
      </c>
      <c r="T359" s="36" t="s">
        <v>44</v>
      </c>
      <c r="AD359" s="60" t="s">
        <v>79</v>
      </c>
      <c r="AG359" s="8">
        <f>0.3333*4*AG357</f>
        <v>40.820341416252269</v>
      </c>
      <c r="AH359" t="s">
        <v>44</v>
      </c>
      <c r="AK359" s="36"/>
      <c r="AM359" s="51"/>
      <c r="AN359" s="50"/>
      <c r="AO359" s="50"/>
      <c r="AP359" s="50">
        <f>AO347+(2*AM353)+(2*AO352)</f>
        <v>52.176812048240549</v>
      </c>
      <c r="AQ359" s="50" t="s">
        <v>39</v>
      </c>
      <c r="AR359" s="50"/>
      <c r="AS359" s="50"/>
      <c r="AT359" s="6"/>
      <c r="AU359" s="6"/>
      <c r="AV359" s="34"/>
      <c r="AX359" s="51"/>
      <c r="AY359" s="50"/>
      <c r="AZ359" s="50"/>
      <c r="BA359" s="50">
        <f>AZ347+(2*AX353)+(2*AZ352)</f>
        <v>52.176812048240549</v>
      </c>
      <c r="BB359" s="50" t="s">
        <v>39</v>
      </c>
      <c r="BC359" s="50"/>
      <c r="BD359" s="50"/>
      <c r="BE359" s="6"/>
      <c r="BF359" s="6"/>
      <c r="BG359" s="34"/>
      <c r="BI359" s="49"/>
      <c r="BJ359" s="48"/>
      <c r="BK359" s="48"/>
      <c r="BL359" s="48">
        <f>BK347+(2*BI353)+(2*BK352)+BJ353</f>
        <v>0</v>
      </c>
      <c r="BM359" s="48" t="s">
        <v>39</v>
      </c>
      <c r="BN359" s="48"/>
      <c r="BO359" s="48"/>
      <c r="BP359" s="16"/>
      <c r="BQ359" s="16"/>
      <c r="BR359" s="15"/>
    </row>
    <row r="360" spans="9:70" x14ac:dyDescent="0.3">
      <c r="I360" s="35" t="s">
        <v>78</v>
      </c>
      <c r="J360" s="6"/>
      <c r="K360" s="6"/>
      <c r="L360" s="34"/>
      <c r="M360" s="35"/>
      <c r="N360" s="6"/>
      <c r="O360" s="6"/>
      <c r="P360" s="34"/>
      <c r="Q360" s="35"/>
      <c r="R360" s="6"/>
      <c r="S360" s="6"/>
      <c r="T360" s="34"/>
      <c r="AD360" s="37" t="s">
        <v>46</v>
      </c>
      <c r="AF360" t="s">
        <v>45</v>
      </c>
      <c r="AG360" s="59">
        <f>AG359*1.1</f>
        <v>44.902375557877498</v>
      </c>
      <c r="AH360" t="s">
        <v>44</v>
      </c>
      <c r="AK360" s="36"/>
      <c r="AM360" s="58"/>
      <c r="AN360" s="57"/>
      <c r="AO360" s="57"/>
      <c r="AP360" s="57"/>
      <c r="AQ360" s="57"/>
      <c r="AR360" s="57"/>
      <c r="AS360" s="57"/>
      <c r="AT360" s="42"/>
      <c r="AU360" s="42"/>
      <c r="AV360" s="41"/>
      <c r="AX360" s="58"/>
      <c r="AY360" s="57"/>
      <c r="AZ360" s="57"/>
      <c r="BA360" s="57"/>
      <c r="BB360" s="57"/>
      <c r="BC360" s="57"/>
      <c r="BD360" s="57"/>
      <c r="BE360" s="42"/>
      <c r="BF360" s="42"/>
      <c r="BG360" s="41"/>
      <c r="BI360" s="56"/>
      <c r="BJ360" s="55"/>
      <c r="BK360" s="55"/>
      <c r="BL360" s="55"/>
      <c r="BM360" s="55"/>
      <c r="BN360" s="55"/>
      <c r="BO360" s="55"/>
      <c r="BP360" s="39"/>
      <c r="BQ360" s="39"/>
      <c r="BR360" s="38"/>
    </row>
    <row r="361" spans="9:70" x14ac:dyDescent="0.3">
      <c r="AD361" s="35"/>
      <c r="AE361" s="6"/>
      <c r="AF361" s="6"/>
      <c r="AG361" s="6"/>
      <c r="AH361" s="6"/>
      <c r="AI361" s="6"/>
      <c r="AJ361" s="6"/>
      <c r="AK361" s="34"/>
      <c r="AM361" s="54"/>
      <c r="AN361" s="53" t="s">
        <v>77</v>
      </c>
      <c r="AO361" s="53"/>
      <c r="AP361" s="53">
        <f>AP359*(0.3333*4)</f>
        <v>69.562125822714293</v>
      </c>
      <c r="AQ361" s="53" t="s">
        <v>44</v>
      </c>
      <c r="AR361" s="53"/>
      <c r="AS361" s="53"/>
      <c r="AV361" s="36"/>
      <c r="AX361" s="54"/>
      <c r="AY361" s="53" t="s">
        <v>77</v>
      </c>
      <c r="AZ361" s="53"/>
      <c r="BA361" s="53">
        <f>BA359*(0.3333*4)</f>
        <v>69.562125822714293</v>
      </c>
      <c r="BB361" s="53" t="s">
        <v>44</v>
      </c>
      <c r="BC361" s="53"/>
      <c r="BD361" s="53"/>
      <c r="BG361" s="36"/>
      <c r="BI361" s="52"/>
      <c r="BJ361" s="46" t="s">
        <v>77</v>
      </c>
      <c r="BK361" s="46"/>
      <c r="BL361" s="46">
        <f>BL359*(0.3333*4)</f>
        <v>0</v>
      </c>
      <c r="BM361" s="46" t="s">
        <v>44</v>
      </c>
      <c r="BN361" s="46"/>
      <c r="BO361" s="46"/>
      <c r="BP361" s="19"/>
      <c r="BQ361" s="19"/>
      <c r="BR361" s="18"/>
    </row>
    <row r="362" spans="9:70" ht="15" customHeight="1" x14ac:dyDescent="0.3">
      <c r="I362" s="9" t="s">
        <v>62</v>
      </c>
      <c r="J362" s="9">
        <v>1.3333299999999999</v>
      </c>
      <c r="K362" s="9" t="s">
        <v>39</v>
      </c>
      <c r="L362" s="9" t="s">
        <v>62</v>
      </c>
      <c r="M362" s="9">
        <v>1.666666</v>
      </c>
      <c r="N362" s="9" t="s">
        <v>39</v>
      </c>
      <c r="O362" s="9" t="s">
        <v>62</v>
      </c>
      <c r="P362" s="9">
        <v>1.666666</v>
      </c>
      <c r="Q362" s="9" t="s">
        <v>39</v>
      </c>
      <c r="R362" s="9" t="s">
        <v>62</v>
      </c>
      <c r="S362" s="9">
        <f>16/12</f>
        <v>1.3333333333333333</v>
      </c>
      <c r="T362" s="9" t="s">
        <v>39</v>
      </c>
      <c r="AM362" s="51"/>
      <c r="AN362" s="50" t="s">
        <v>76</v>
      </c>
      <c r="AO362" s="50"/>
      <c r="AP362" s="50"/>
      <c r="AQ362" s="50"/>
      <c r="AR362" s="50"/>
      <c r="AS362" s="50"/>
      <c r="AT362" s="6"/>
      <c r="AU362" s="6"/>
      <c r="AV362" s="34"/>
      <c r="AX362" s="51"/>
      <c r="AY362" s="50" t="s">
        <v>76</v>
      </c>
      <c r="AZ362" s="50"/>
      <c r="BA362" s="50"/>
      <c r="BB362" s="50"/>
      <c r="BC362" s="50"/>
      <c r="BD362" s="50"/>
      <c r="BE362" s="6"/>
      <c r="BF362" s="6"/>
      <c r="BG362" s="34"/>
      <c r="BI362" s="49"/>
      <c r="BJ362" s="48" t="s">
        <v>76</v>
      </c>
      <c r="BK362" s="48"/>
      <c r="BL362" s="48"/>
      <c r="BM362" s="48"/>
      <c r="BN362" s="48"/>
      <c r="BO362" s="48"/>
      <c r="BP362" s="16"/>
      <c r="BQ362" s="16"/>
      <c r="BR362" s="15"/>
    </row>
    <row r="363" spans="9:70" x14ac:dyDescent="0.3">
      <c r="I363" s="9" t="s">
        <v>40</v>
      </c>
      <c r="J363" s="44">
        <f>AG357</f>
        <v>30.618317893978599</v>
      </c>
      <c r="K363" s="9" t="s">
        <v>39</v>
      </c>
      <c r="L363" s="9" t="s">
        <v>40</v>
      </c>
      <c r="M363" s="9">
        <f>AP359</f>
        <v>52.176812048240549</v>
      </c>
      <c r="N363" s="9" t="s">
        <v>39</v>
      </c>
      <c r="O363" s="9" t="s">
        <v>40</v>
      </c>
      <c r="P363" s="9">
        <f>BA359</f>
        <v>52.176812048240549</v>
      </c>
      <c r="Q363" s="9" t="s">
        <v>39</v>
      </c>
      <c r="R363" s="9" t="s">
        <v>40</v>
      </c>
      <c r="S363" s="9">
        <f>BL359</f>
        <v>0</v>
      </c>
      <c r="T363" s="9" t="s">
        <v>39</v>
      </c>
      <c r="AM363" s="43"/>
      <c r="AN363" s="42"/>
      <c r="AO363" s="42"/>
      <c r="AP363" s="42"/>
      <c r="AQ363" s="42"/>
      <c r="AR363" s="42"/>
      <c r="AS363" s="42"/>
      <c r="AT363" s="42"/>
      <c r="AU363" s="42"/>
      <c r="AV363" s="41"/>
      <c r="AX363" s="43"/>
      <c r="AY363" s="42"/>
      <c r="AZ363" s="42"/>
      <c r="BA363" s="42"/>
      <c r="BB363" s="42"/>
      <c r="BC363" s="42"/>
      <c r="BD363" s="42"/>
      <c r="BE363" s="42"/>
      <c r="BF363" s="42"/>
      <c r="BG363" s="41"/>
      <c r="BI363" s="40"/>
      <c r="BJ363" s="39"/>
      <c r="BK363" s="39"/>
      <c r="BL363" s="39"/>
      <c r="BM363" s="39"/>
      <c r="BN363" s="39"/>
      <c r="BO363" s="39"/>
      <c r="BP363" s="39"/>
      <c r="BQ363" s="39"/>
      <c r="BR363" s="38"/>
    </row>
    <row r="364" spans="9:70" x14ac:dyDescent="0.3">
      <c r="I364" s="9" t="s">
        <v>58</v>
      </c>
      <c r="J364" s="32" t="s">
        <v>75</v>
      </c>
      <c r="K364" s="11"/>
      <c r="L364" s="9" t="s">
        <v>58</v>
      </c>
      <c r="M364" s="32" t="s">
        <v>74</v>
      </c>
      <c r="N364" s="11"/>
      <c r="O364" s="9" t="s">
        <v>58</v>
      </c>
      <c r="P364" s="32" t="s">
        <v>73</v>
      </c>
      <c r="Q364" s="11"/>
      <c r="R364" s="9" t="s">
        <v>58</v>
      </c>
      <c r="S364" s="32" t="s">
        <v>72</v>
      </c>
      <c r="T364" s="11"/>
      <c r="AD364" s="40"/>
      <c r="AE364" s="47" t="s">
        <v>71</v>
      </c>
      <c r="AF364" s="39"/>
      <c r="AG364" s="39"/>
      <c r="AH364" s="39"/>
      <c r="AI364" s="39"/>
      <c r="AJ364" s="39"/>
      <c r="AK364" s="38"/>
      <c r="AM364" s="37"/>
      <c r="AN364" s="188" t="s">
        <v>70</v>
      </c>
      <c r="AV364" s="36"/>
      <c r="AX364" s="37"/>
      <c r="AY364" s="188" t="s">
        <v>70</v>
      </c>
      <c r="BG364" s="36"/>
      <c r="BI364" s="21"/>
      <c r="BJ364" s="192" t="s">
        <v>70</v>
      </c>
      <c r="BK364" s="19"/>
      <c r="BL364" s="19"/>
      <c r="BM364" s="19"/>
      <c r="BN364" s="19"/>
      <c r="BO364" s="19"/>
      <c r="BP364" s="19"/>
      <c r="BQ364" s="19"/>
      <c r="BR364" s="18"/>
    </row>
    <row r="365" spans="9:70" x14ac:dyDescent="0.3">
      <c r="I365" s="9" t="s">
        <v>55</v>
      </c>
      <c r="J365" s="32">
        <v>175</v>
      </c>
      <c r="K365" s="11"/>
      <c r="L365" s="9" t="s">
        <v>55</v>
      </c>
      <c r="M365" s="32">
        <v>5</v>
      </c>
      <c r="N365" s="11"/>
      <c r="O365" s="9" t="s">
        <v>55</v>
      </c>
      <c r="P365" s="32">
        <v>5</v>
      </c>
      <c r="Q365" s="11"/>
      <c r="R365" s="9" t="s">
        <v>55</v>
      </c>
      <c r="S365" s="32">
        <v>0</v>
      </c>
      <c r="T365" s="11"/>
      <c r="AD365" s="21"/>
      <c r="AE365" s="19"/>
      <c r="AF365" s="19" t="s">
        <v>69</v>
      </c>
      <c r="AG365" s="19"/>
      <c r="AH365" s="19"/>
      <c r="AI365" s="19"/>
      <c r="AJ365" s="19"/>
      <c r="AK365" s="19"/>
      <c r="AM365" s="37"/>
      <c r="AN365" s="188"/>
      <c r="AP365">
        <f>AT343*AP359</f>
        <v>427.84985879557246</v>
      </c>
      <c r="AQ365" t="s">
        <v>52</v>
      </c>
      <c r="AV365" s="36"/>
      <c r="AX365" s="37"/>
      <c r="AY365" s="188"/>
      <c r="BA365">
        <f>BE343*BA359</f>
        <v>427.84985879557246</v>
      </c>
      <c r="BB365" t="s">
        <v>52</v>
      </c>
      <c r="BG365" s="36"/>
      <c r="BI365" s="21"/>
      <c r="BJ365" s="192"/>
      <c r="BK365" s="19"/>
      <c r="BL365" s="19">
        <f>BP343*BL359</f>
        <v>0</v>
      </c>
      <c r="BM365" s="19" t="s">
        <v>52</v>
      </c>
      <c r="BN365" s="19"/>
      <c r="BO365" s="19"/>
      <c r="BP365" s="19"/>
      <c r="BQ365" s="19"/>
      <c r="BR365" s="18"/>
    </row>
    <row r="366" spans="9:70" x14ac:dyDescent="0.3">
      <c r="I366" s="9" t="s">
        <v>38</v>
      </c>
      <c r="J366" s="9">
        <f>J363*J362*J365</f>
        <v>7144.2563145762351</v>
      </c>
      <c r="K366" s="9" t="s">
        <v>37</v>
      </c>
      <c r="L366" s="9" t="s">
        <v>38</v>
      </c>
      <c r="M366" s="9">
        <f>M363*M362*M365</f>
        <v>434.80659314596443</v>
      </c>
      <c r="N366" s="9" t="s">
        <v>37</v>
      </c>
      <c r="O366" s="9" t="s">
        <v>38</v>
      </c>
      <c r="P366" s="9">
        <f>P363*P362*P365</f>
        <v>434.80659314596443</v>
      </c>
      <c r="Q366" s="9" t="s">
        <v>37</v>
      </c>
      <c r="R366" s="9" t="s">
        <v>38</v>
      </c>
      <c r="S366" s="9">
        <f>S363*S362*S365</f>
        <v>0</v>
      </c>
      <c r="T366" s="9" t="s">
        <v>37</v>
      </c>
      <c r="AD366" s="21"/>
      <c r="AE366" s="19"/>
      <c r="AF366" s="19"/>
      <c r="AG366" s="19"/>
      <c r="AH366" s="19"/>
      <c r="AI366" s="45"/>
      <c r="AJ366" s="19"/>
      <c r="AK366" s="18"/>
      <c r="AM366" s="35"/>
      <c r="AN366" s="189"/>
      <c r="AO366" s="6"/>
      <c r="AP366" s="6"/>
      <c r="AQ366" s="6"/>
      <c r="AR366" s="6"/>
      <c r="AS366" s="6"/>
      <c r="AT366" s="6"/>
      <c r="AU366" s="6"/>
      <c r="AV366" s="34"/>
      <c r="AX366" s="35"/>
      <c r="AY366" s="189"/>
      <c r="AZ366" s="6"/>
      <c r="BA366" s="6"/>
      <c r="BB366" s="6"/>
      <c r="BC366" s="6"/>
      <c r="BD366" s="6"/>
      <c r="BE366" s="6"/>
      <c r="BF366" s="6"/>
      <c r="BG366" s="34"/>
      <c r="BI366" s="17"/>
      <c r="BJ366" s="193"/>
      <c r="BK366" s="16"/>
      <c r="BL366" s="16"/>
      <c r="BM366" s="16"/>
      <c r="BN366" s="16"/>
      <c r="BO366" s="16"/>
      <c r="BP366" s="16"/>
      <c r="BQ366" s="16"/>
      <c r="BR366" s="15"/>
    </row>
    <row r="367" spans="9:70" x14ac:dyDescent="0.3">
      <c r="I367" s="9" t="s">
        <v>54</v>
      </c>
      <c r="J367" s="33">
        <f>J366*1.1</f>
        <v>7858.6819460338593</v>
      </c>
      <c r="K367" s="9" t="s">
        <v>37</v>
      </c>
      <c r="L367" s="9" t="s">
        <v>54</v>
      </c>
      <c r="M367" s="33">
        <f>M366*1.1</f>
        <v>478.28725246056092</v>
      </c>
      <c r="N367" s="9" t="s">
        <v>37</v>
      </c>
      <c r="O367" s="9" t="s">
        <v>54</v>
      </c>
      <c r="P367" s="33">
        <f>P366*1.1</f>
        <v>478.28725246056092</v>
      </c>
      <c r="Q367" s="9" t="s">
        <v>37</v>
      </c>
      <c r="R367" s="9" t="s">
        <v>54</v>
      </c>
      <c r="S367" s="33">
        <f>S366*1.1</f>
        <v>0</v>
      </c>
      <c r="T367" s="9" t="s">
        <v>37</v>
      </c>
      <c r="AD367" s="21"/>
      <c r="AE367" s="19" t="s">
        <v>68</v>
      </c>
      <c r="AF367" s="20">
        <v>9.5</v>
      </c>
      <c r="AG367" s="20" t="s">
        <v>39</v>
      </c>
      <c r="AH367" s="20"/>
      <c r="AI367" s="19"/>
      <c r="AJ367" s="19"/>
      <c r="AK367" s="18"/>
      <c r="AM367" s="43"/>
      <c r="AN367" s="42"/>
      <c r="AO367" s="42"/>
      <c r="AP367" s="42"/>
      <c r="AQ367" s="42"/>
      <c r="AR367" s="42"/>
      <c r="AS367" s="42"/>
      <c r="AT367" s="42"/>
      <c r="AU367" s="42"/>
      <c r="AV367" s="41"/>
      <c r="AX367" s="43"/>
      <c r="AY367" s="42"/>
      <c r="AZ367" s="42"/>
      <c r="BA367" s="42"/>
      <c r="BB367" s="42"/>
      <c r="BC367" s="42"/>
      <c r="BD367" s="42"/>
      <c r="BE367" s="42"/>
      <c r="BF367" s="42"/>
      <c r="BG367" s="41"/>
      <c r="BI367" s="40"/>
      <c r="BJ367" s="39"/>
      <c r="BK367" s="39"/>
      <c r="BL367" s="39"/>
      <c r="BM367" s="39"/>
      <c r="BN367" s="39"/>
      <c r="BO367" s="39"/>
      <c r="BP367" s="39"/>
      <c r="BQ367" s="39"/>
      <c r="BR367" s="38"/>
    </row>
    <row r="368" spans="9:70" ht="15.6" x14ac:dyDescent="0.35">
      <c r="AD368" s="195" t="s">
        <v>67</v>
      </c>
      <c r="AE368" s="46" t="s">
        <v>66</v>
      </c>
      <c r="AF368" s="19">
        <f>(60+94)/2</f>
        <v>77</v>
      </c>
      <c r="AG368" s="19" t="s">
        <v>64</v>
      </c>
      <c r="AH368" s="19"/>
      <c r="AI368" s="45" t="s">
        <v>65</v>
      </c>
      <c r="AJ368" s="19">
        <v>2</v>
      </c>
      <c r="AK368" s="18" t="s">
        <v>64</v>
      </c>
      <c r="AM368" s="37"/>
      <c r="AN368" s="188" t="s">
        <v>63</v>
      </c>
      <c r="AP368">
        <f>1.1*AP365</f>
        <v>470.63484467512973</v>
      </c>
      <c r="AQ368" t="s">
        <v>52</v>
      </c>
      <c r="AV368" s="36"/>
      <c r="AX368" s="37"/>
      <c r="AY368" s="188" t="s">
        <v>63</v>
      </c>
      <c r="BA368">
        <f>1.1*BA365</f>
        <v>470.63484467512973</v>
      </c>
      <c r="BB368" t="s">
        <v>52</v>
      </c>
      <c r="BG368" s="36"/>
      <c r="BI368" s="21"/>
      <c r="BJ368" s="192" t="s">
        <v>63</v>
      </c>
      <c r="BK368" s="19"/>
      <c r="BL368" s="19">
        <f>1.1*BL365</f>
        <v>0</v>
      </c>
      <c r="BM368" s="19" t="s">
        <v>52</v>
      </c>
      <c r="BN368" s="19"/>
      <c r="BO368" s="19"/>
      <c r="BP368" s="19"/>
      <c r="BQ368" s="19"/>
      <c r="BR368" s="18"/>
    </row>
    <row r="369" spans="9:70" x14ac:dyDescent="0.3">
      <c r="I369" s="9" t="s">
        <v>62</v>
      </c>
      <c r="J369" s="9">
        <v>1</v>
      </c>
      <c r="K369" s="9" t="s">
        <v>39</v>
      </c>
      <c r="L369" s="9" t="s">
        <v>62</v>
      </c>
      <c r="M369" s="9">
        <v>0</v>
      </c>
      <c r="N369" s="9" t="s">
        <v>39</v>
      </c>
      <c r="O369" s="9" t="s">
        <v>62</v>
      </c>
      <c r="P369" s="9">
        <f>((5.25*2)+(5*2))/12</f>
        <v>1.7083333333333333</v>
      </c>
      <c r="Q369" s="9" t="s">
        <v>39</v>
      </c>
      <c r="R369" s="9" t="s">
        <v>62</v>
      </c>
      <c r="S369" s="9">
        <v>0</v>
      </c>
      <c r="T369" s="9" t="s">
        <v>39</v>
      </c>
      <c r="AD369" s="195"/>
      <c r="AE369" s="19"/>
      <c r="AF369" s="19">
        <f>AF368/12</f>
        <v>6.416666666666667</v>
      </c>
      <c r="AG369" s="19" t="s">
        <v>39</v>
      </c>
      <c r="AH369" s="19"/>
      <c r="AI369" s="45"/>
      <c r="AJ369" s="19"/>
      <c r="AK369" s="18"/>
      <c r="AM369" s="35"/>
      <c r="AN369" s="189"/>
      <c r="AO369" s="6"/>
      <c r="AP369" s="6"/>
      <c r="AQ369" s="6"/>
      <c r="AR369" s="6"/>
      <c r="AS369" s="6"/>
      <c r="AT369" s="6"/>
      <c r="AU369" s="6"/>
      <c r="AV369" s="34"/>
      <c r="AX369" s="35"/>
      <c r="AY369" s="189"/>
      <c r="AZ369" s="6"/>
      <c r="BA369" s="6"/>
      <c r="BB369" s="6"/>
      <c r="BC369" s="6"/>
      <c r="BD369" s="6"/>
      <c r="BE369" s="6"/>
      <c r="BF369" s="6"/>
      <c r="BG369" s="34"/>
      <c r="BI369" s="17"/>
      <c r="BJ369" s="193"/>
      <c r="BK369" s="16"/>
      <c r="BL369" s="16"/>
      <c r="BM369" s="16"/>
      <c r="BN369" s="16"/>
      <c r="BO369" s="16"/>
      <c r="BP369" s="16"/>
      <c r="BQ369" s="16"/>
      <c r="BR369" s="15"/>
    </row>
    <row r="370" spans="9:70" x14ac:dyDescent="0.3">
      <c r="I370" s="9" t="s">
        <v>40</v>
      </c>
      <c r="J370" s="44">
        <f>AF345</f>
        <v>9.5832999999999995</v>
      </c>
      <c r="K370" s="9" t="s">
        <v>39</v>
      </c>
      <c r="L370" s="9" t="s">
        <v>40</v>
      </c>
      <c r="M370" s="44">
        <f>AG379</f>
        <v>31.884354694989781</v>
      </c>
      <c r="N370" s="9" t="s">
        <v>39</v>
      </c>
      <c r="O370" s="9" t="s">
        <v>40</v>
      </c>
      <c r="P370" s="44">
        <v>11.28</v>
      </c>
      <c r="Q370" s="9" t="s">
        <v>39</v>
      </c>
      <c r="R370" s="9" t="s">
        <v>40</v>
      </c>
      <c r="S370" s="44">
        <v>0</v>
      </c>
      <c r="T370" s="9" t="s">
        <v>39</v>
      </c>
      <c r="AD370" s="21"/>
      <c r="AE370" s="19"/>
      <c r="AF370" s="19"/>
      <c r="AG370" s="19"/>
      <c r="AH370" s="19"/>
      <c r="AI370" s="19"/>
      <c r="AJ370" s="19"/>
      <c r="AK370" s="18"/>
      <c r="AM370" s="43"/>
      <c r="AN370" s="42"/>
      <c r="AO370" s="42"/>
      <c r="AP370" s="42"/>
      <c r="AQ370" s="42"/>
      <c r="AR370" s="42"/>
      <c r="AS370" s="42"/>
      <c r="AT370" s="42"/>
      <c r="AU370" s="42"/>
      <c r="AV370" s="41"/>
      <c r="AX370" s="43"/>
      <c r="AY370" s="42"/>
      <c r="AZ370" s="42"/>
      <c r="BA370" s="42"/>
      <c r="BB370" s="42"/>
      <c r="BC370" s="42"/>
      <c r="BD370" s="42"/>
      <c r="BE370" s="42"/>
      <c r="BF370" s="42"/>
      <c r="BG370" s="41"/>
      <c r="BI370" s="40"/>
      <c r="BJ370" s="39"/>
      <c r="BK370" s="39"/>
      <c r="BL370" s="39"/>
      <c r="BM370" s="39"/>
      <c r="BN370" s="39"/>
      <c r="BO370" s="39"/>
      <c r="BP370" s="39"/>
      <c r="BQ370" s="39"/>
      <c r="BR370" s="38"/>
    </row>
    <row r="371" spans="9:70" x14ac:dyDescent="0.3">
      <c r="I371" s="9" t="s">
        <v>58</v>
      </c>
      <c r="J371" s="32" t="s">
        <v>61</v>
      </c>
      <c r="K371" s="11"/>
      <c r="L371" s="9" t="s">
        <v>58</v>
      </c>
      <c r="M371" s="32" t="s">
        <v>60</v>
      </c>
      <c r="N371" s="11"/>
      <c r="O371" s="9" t="s">
        <v>58</v>
      </c>
      <c r="P371" s="32" t="s">
        <v>59</v>
      </c>
      <c r="Q371" s="11"/>
      <c r="R371" s="9" t="s">
        <v>58</v>
      </c>
      <c r="S371" s="32" t="s">
        <v>57</v>
      </c>
      <c r="T371" s="11"/>
      <c r="AD371" s="21"/>
      <c r="AE371" s="19"/>
      <c r="AF371" s="19"/>
      <c r="AG371" s="19"/>
      <c r="AH371" s="19"/>
      <c r="AI371" s="19"/>
      <c r="AJ371" s="19"/>
      <c r="AK371" s="18"/>
      <c r="AM371" s="37"/>
      <c r="AN371" s="188" t="s">
        <v>56</v>
      </c>
      <c r="AP371">
        <v>5</v>
      </c>
      <c r="AV371" s="36"/>
      <c r="AX371" s="37"/>
      <c r="AY371" s="188" t="s">
        <v>56</v>
      </c>
      <c r="BA371">
        <v>5</v>
      </c>
      <c r="BG371" s="36"/>
      <c r="BI371" s="21"/>
      <c r="BJ371" s="192" t="s">
        <v>56</v>
      </c>
      <c r="BK371" s="19"/>
      <c r="BL371" s="19">
        <v>2</v>
      </c>
      <c r="BM371" s="19"/>
      <c r="BN371" s="19"/>
      <c r="BO371" s="19"/>
      <c r="BP371" s="19"/>
      <c r="BQ371" s="19"/>
      <c r="BR371" s="18"/>
    </row>
    <row r="372" spans="9:70" x14ac:dyDescent="0.3">
      <c r="I372" s="9" t="s">
        <v>55</v>
      </c>
      <c r="J372" s="32">
        <v>0</v>
      </c>
      <c r="K372" s="11"/>
      <c r="L372" s="9" t="s">
        <v>55</v>
      </c>
      <c r="M372" s="32">
        <v>0</v>
      </c>
      <c r="N372" s="11"/>
      <c r="O372" s="9" t="s">
        <v>55</v>
      </c>
      <c r="P372" s="32">
        <f>36*4</f>
        <v>144</v>
      </c>
      <c r="Q372" s="11"/>
      <c r="R372" s="9" t="s">
        <v>55</v>
      </c>
      <c r="S372" s="32">
        <v>0</v>
      </c>
      <c r="T372" s="11"/>
      <c r="AD372" s="21"/>
      <c r="AE372" s="19"/>
      <c r="AF372" s="19"/>
      <c r="AG372" s="19"/>
      <c r="AH372" s="19"/>
      <c r="AI372" s="19"/>
      <c r="AJ372" s="19"/>
      <c r="AK372" s="18"/>
      <c r="AM372" s="37"/>
      <c r="AN372" s="188"/>
      <c r="AV372" s="36"/>
      <c r="AX372" s="37"/>
      <c r="AY372" s="188"/>
      <c r="BG372" s="36"/>
      <c r="BI372" s="21"/>
      <c r="BJ372" s="192"/>
      <c r="BK372" s="19"/>
      <c r="BL372" s="19"/>
      <c r="BM372" s="19"/>
      <c r="BN372" s="19"/>
      <c r="BO372" s="19"/>
      <c r="BP372" s="19"/>
      <c r="BQ372" s="19"/>
      <c r="BR372" s="18"/>
    </row>
    <row r="373" spans="9:70" x14ac:dyDescent="0.3">
      <c r="I373" s="9" t="s">
        <v>38</v>
      </c>
      <c r="J373" s="9">
        <f>J370*J369*J372</f>
        <v>0</v>
      </c>
      <c r="K373" s="9" t="s">
        <v>37</v>
      </c>
      <c r="L373" s="9" t="s">
        <v>38</v>
      </c>
      <c r="M373" s="9">
        <f>M370*M369*M372</f>
        <v>0</v>
      </c>
      <c r="N373" s="9" t="s">
        <v>37</v>
      </c>
      <c r="O373" s="9" t="s">
        <v>38</v>
      </c>
      <c r="P373" s="9">
        <f>P370*P369*P372</f>
        <v>2774.88</v>
      </c>
      <c r="Q373" s="9" t="s">
        <v>37</v>
      </c>
      <c r="R373" s="9" t="s">
        <v>38</v>
      </c>
      <c r="S373" s="9">
        <f>S370*S369*S372</f>
        <v>0</v>
      </c>
      <c r="T373" s="9" t="s">
        <v>37</v>
      </c>
      <c r="AD373" s="21"/>
      <c r="AE373" s="19">
        <f>AF369-2*(AJ368/12+0.083)</f>
        <v>5.9173333333333336</v>
      </c>
      <c r="AF373" s="19" t="s">
        <v>6</v>
      </c>
      <c r="AG373" s="19"/>
      <c r="AH373" s="19">
        <f>SQRT((AG377)^2+(AE373)^2)</f>
        <v>11.192177347494891</v>
      </c>
      <c r="AI373" s="19" t="s">
        <v>6</v>
      </c>
      <c r="AJ373" s="19"/>
      <c r="AK373" s="18"/>
      <c r="AM373" s="35"/>
      <c r="AN373" s="6"/>
      <c r="AO373" s="6"/>
      <c r="AP373" s="6"/>
      <c r="AQ373" s="6"/>
      <c r="AR373" s="6"/>
      <c r="AS373" s="6"/>
      <c r="AT373" s="6"/>
      <c r="AU373" s="6"/>
      <c r="AV373" s="34"/>
      <c r="AX373" s="35"/>
      <c r="AY373" s="6"/>
      <c r="AZ373" s="6"/>
      <c r="BA373" s="6"/>
      <c r="BB373" s="6"/>
      <c r="BC373" s="6"/>
      <c r="BD373" s="6"/>
      <c r="BE373" s="6"/>
      <c r="BF373" s="6"/>
      <c r="BG373" s="34"/>
      <c r="BI373" s="17"/>
      <c r="BJ373" s="16"/>
      <c r="BK373" s="16"/>
      <c r="BL373" s="16"/>
      <c r="BM373" s="16"/>
      <c r="BN373" s="16"/>
      <c r="BO373" s="16"/>
      <c r="BP373" s="16"/>
      <c r="BQ373" s="16"/>
      <c r="BR373" s="15"/>
    </row>
    <row r="374" spans="9:70" ht="18" customHeight="1" x14ac:dyDescent="0.3">
      <c r="I374" s="9" t="s">
        <v>54</v>
      </c>
      <c r="J374" s="33">
        <f>J373*1.1</f>
        <v>0</v>
      </c>
      <c r="K374" s="9" t="s">
        <v>37</v>
      </c>
      <c r="L374" s="9" t="s">
        <v>54</v>
      </c>
      <c r="M374" s="33">
        <f>M373*1.1</f>
        <v>0</v>
      </c>
      <c r="N374" s="9" t="s">
        <v>37</v>
      </c>
      <c r="O374" s="9" t="s">
        <v>54</v>
      </c>
      <c r="P374" s="33">
        <f>P373*1.1</f>
        <v>3052.3680000000004</v>
      </c>
      <c r="Q374" s="9" t="s">
        <v>37</v>
      </c>
      <c r="R374" s="9" t="s">
        <v>54</v>
      </c>
      <c r="S374" s="33">
        <f>S373*1.1</f>
        <v>0</v>
      </c>
      <c r="T374" s="9" t="s">
        <v>37</v>
      </c>
      <c r="AD374" s="21"/>
      <c r="AE374" s="19">
        <f>AE373*12</f>
        <v>71.00800000000001</v>
      </c>
      <c r="AF374" s="19"/>
      <c r="AG374" s="19"/>
      <c r="AH374" s="19"/>
      <c r="AI374" s="19"/>
      <c r="AJ374" s="19"/>
      <c r="AK374" s="18"/>
      <c r="AM374" s="32"/>
      <c r="AN374" s="31" t="s">
        <v>53</v>
      </c>
      <c r="AO374" s="12"/>
      <c r="AP374" s="30">
        <f>AP368*AP371</f>
        <v>2353.1742233756486</v>
      </c>
      <c r="AQ374" s="12" t="s">
        <v>52</v>
      </c>
      <c r="AR374" s="12"/>
      <c r="AS374" s="12"/>
      <c r="AT374" s="12"/>
      <c r="AU374" s="12"/>
      <c r="AV374" s="11"/>
      <c r="AX374" s="32"/>
      <c r="AY374" s="31" t="s">
        <v>53</v>
      </c>
      <c r="AZ374" s="12"/>
      <c r="BA374" s="30">
        <f>BA368*BA371</f>
        <v>2353.1742233756486</v>
      </c>
      <c r="BB374" s="12" t="s">
        <v>52</v>
      </c>
      <c r="BC374" s="12"/>
      <c r="BD374" s="12"/>
      <c r="BE374" s="12"/>
      <c r="BF374" s="12"/>
      <c r="BG374" s="11"/>
      <c r="BI374" s="29"/>
      <c r="BJ374" s="28" t="s">
        <v>53</v>
      </c>
      <c r="BK374" s="27"/>
      <c r="BL374" s="27">
        <f>BL368*BL371</f>
        <v>0</v>
      </c>
      <c r="BM374" s="27" t="s">
        <v>52</v>
      </c>
      <c r="BN374" s="27"/>
      <c r="BO374" s="27"/>
      <c r="BP374" s="27"/>
      <c r="BQ374" s="27"/>
      <c r="BR374" s="26"/>
    </row>
    <row r="375" spans="9:70" x14ac:dyDescent="0.3">
      <c r="AD375" s="21"/>
      <c r="AE375" s="19"/>
      <c r="AF375" s="19"/>
      <c r="AG375" s="19"/>
      <c r="AH375" s="19"/>
      <c r="AI375" s="19"/>
      <c r="AJ375" s="19"/>
      <c r="AK375" s="18"/>
    </row>
    <row r="376" spans="9:70" x14ac:dyDescent="0.3">
      <c r="AD376" s="21"/>
      <c r="AE376" s="19"/>
      <c r="AF376" s="19"/>
      <c r="AG376" s="19"/>
      <c r="AH376" s="19"/>
      <c r="AI376" s="19"/>
      <c r="AJ376" s="19"/>
      <c r="AK376" s="18"/>
    </row>
    <row r="377" spans="9:70" ht="43.2" x14ac:dyDescent="0.3">
      <c r="M377" s="25" t="s">
        <v>51</v>
      </c>
      <c r="N377" s="24">
        <f>K350+O350+K354+O355+S355+K359+O359+S359+J367+M367+P367+S367+J374+M374+P374+S374</f>
        <v>52095.573148349467</v>
      </c>
      <c r="O377" t="s">
        <v>37</v>
      </c>
      <c r="P377" s="5" t="s">
        <v>50</v>
      </c>
      <c r="AD377" s="21"/>
      <c r="AE377" s="19"/>
      <c r="AF377" s="19"/>
      <c r="AG377" s="20">
        <f>AF367</f>
        <v>9.5</v>
      </c>
      <c r="AH377" s="19"/>
      <c r="AI377" s="19"/>
      <c r="AJ377" s="19"/>
      <c r="AK377" s="18"/>
    </row>
    <row r="378" spans="9:70" x14ac:dyDescent="0.3">
      <c r="AD378" s="21"/>
      <c r="AE378" s="19"/>
      <c r="AF378" s="19"/>
      <c r="AG378" s="19"/>
      <c r="AH378" s="19"/>
      <c r="AI378" s="19"/>
      <c r="AJ378" s="19"/>
      <c r="AK378" s="18"/>
    </row>
    <row r="379" spans="9:70" x14ac:dyDescent="0.3">
      <c r="AD379" s="21" t="s">
        <v>49</v>
      </c>
      <c r="AE379" s="19"/>
      <c r="AF379" s="19"/>
      <c r="AG379" s="20">
        <f>(1*AG377)+(2*AH373)</f>
        <v>31.884354694989781</v>
      </c>
      <c r="AH379" s="19" t="s">
        <v>48</v>
      </c>
      <c r="AI379" s="19"/>
      <c r="AJ379" s="19"/>
      <c r="AK379" s="18"/>
    </row>
    <row r="380" spans="9:70" x14ac:dyDescent="0.3">
      <c r="AD380" s="21"/>
      <c r="AE380" s="19"/>
      <c r="AF380" s="19"/>
      <c r="AG380" s="19"/>
      <c r="AH380" s="19"/>
      <c r="AI380" s="19"/>
      <c r="AJ380" s="19"/>
      <c r="AK380" s="18"/>
    </row>
    <row r="381" spans="9:70" x14ac:dyDescent="0.3">
      <c r="AD381" s="23" t="s">
        <v>47</v>
      </c>
      <c r="AE381" s="19"/>
      <c r="AF381" s="19"/>
      <c r="AG381" s="22">
        <f>0.25*4*AG379</f>
        <v>31.884354694989781</v>
      </c>
      <c r="AH381" s="19" t="s">
        <v>44</v>
      </c>
      <c r="AI381" s="19"/>
      <c r="AJ381" s="19"/>
      <c r="AK381" s="18"/>
    </row>
    <row r="382" spans="9:70" x14ac:dyDescent="0.3">
      <c r="AD382" s="21" t="s">
        <v>46</v>
      </c>
      <c r="AE382" s="19"/>
      <c r="AF382" s="19" t="s">
        <v>45</v>
      </c>
      <c r="AG382" s="20">
        <f>AG381*1.1</f>
        <v>35.072790164488765</v>
      </c>
      <c r="AH382" s="19" t="s">
        <v>44</v>
      </c>
      <c r="AI382" s="19"/>
      <c r="AJ382" s="19"/>
      <c r="AK382" s="18"/>
    </row>
    <row r="383" spans="9:70" x14ac:dyDescent="0.3">
      <c r="AD383" s="17"/>
      <c r="AE383" s="16"/>
      <c r="AF383" s="16"/>
      <c r="AG383" s="16"/>
      <c r="AH383" s="16"/>
      <c r="AI383" s="16"/>
      <c r="AJ383" s="16"/>
      <c r="AK383" s="15"/>
    </row>
    <row r="384" spans="9:70" x14ac:dyDescent="0.3">
      <c r="I384" s="14" t="s">
        <v>43</v>
      </c>
      <c r="J384" s="12"/>
      <c r="K384" s="13" t="s">
        <v>42</v>
      </c>
      <c r="L384" s="12"/>
      <c r="M384" s="12"/>
      <c r="N384" s="11"/>
    </row>
    <row r="385" spans="1:11" x14ac:dyDescent="0.3">
      <c r="I385" s="9" t="s">
        <v>41</v>
      </c>
      <c r="J385" s="9">
        <v>10</v>
      </c>
      <c r="K385" s="9" t="s">
        <v>39</v>
      </c>
    </row>
    <row r="386" spans="1:11" x14ac:dyDescent="0.3">
      <c r="I386" s="9" t="s">
        <v>40</v>
      </c>
      <c r="J386" s="9">
        <v>20</v>
      </c>
      <c r="K386" s="9" t="s">
        <v>39</v>
      </c>
    </row>
    <row r="387" spans="1:11" x14ac:dyDescent="0.3">
      <c r="I387" s="9" t="s">
        <v>38</v>
      </c>
      <c r="J387" s="10">
        <f>J385*J386</f>
        <v>200</v>
      </c>
      <c r="K387" s="9" t="s">
        <v>37</v>
      </c>
    </row>
    <row r="395" spans="1:11" x14ac:dyDescent="0.3">
      <c r="A395" s="5" t="s">
        <v>36</v>
      </c>
    </row>
    <row r="397" spans="1:11" x14ac:dyDescent="0.3">
      <c r="A397" t="s">
        <v>35</v>
      </c>
      <c r="D397">
        <v>0</v>
      </c>
      <c r="E397" t="s">
        <v>6</v>
      </c>
    </row>
    <row r="398" spans="1:11" x14ac:dyDescent="0.3">
      <c r="A398" t="s">
        <v>34</v>
      </c>
      <c r="D398">
        <v>0</v>
      </c>
      <c r="E398" t="s">
        <v>33</v>
      </c>
    </row>
    <row r="400" spans="1:11" x14ac:dyDescent="0.3">
      <c r="A400" t="s">
        <v>32</v>
      </c>
      <c r="D400" s="8">
        <v>0</v>
      </c>
      <c r="E400" t="s">
        <v>6</v>
      </c>
    </row>
    <row r="401" spans="1:5" x14ac:dyDescent="0.3">
      <c r="A401" t="s">
        <v>31</v>
      </c>
      <c r="D401" s="7">
        <v>0</v>
      </c>
      <c r="E401" s="6" t="s">
        <v>6</v>
      </c>
    </row>
    <row r="402" spans="1:5" x14ac:dyDescent="0.3">
      <c r="A402" t="s">
        <v>30</v>
      </c>
      <c r="D402" s="4">
        <f>SUM(D400:D401)</f>
        <v>0</v>
      </c>
      <c r="E402" s="3" t="s">
        <v>6</v>
      </c>
    </row>
    <row r="407" spans="1:5" hidden="1" x14ac:dyDescent="0.3">
      <c r="A407" s="2" t="s">
        <v>29</v>
      </c>
    </row>
    <row r="408" spans="1:5" hidden="1" x14ac:dyDescent="0.3"/>
    <row r="409" spans="1:5" hidden="1" x14ac:dyDescent="0.3">
      <c r="A409" t="s">
        <v>28</v>
      </c>
      <c r="B409" t="s">
        <v>27</v>
      </c>
      <c r="C409">
        <v>0</v>
      </c>
      <c r="D409" t="s">
        <v>0</v>
      </c>
    </row>
    <row r="412" spans="1:5" x14ac:dyDescent="0.3">
      <c r="A412" s="5" t="s">
        <v>325</v>
      </c>
    </row>
    <row r="413" spans="1:5" hidden="1" x14ac:dyDescent="0.3">
      <c r="A413" s="2" t="s">
        <v>25</v>
      </c>
    </row>
    <row r="414" spans="1:5" x14ac:dyDescent="0.3">
      <c r="A414" t="s">
        <v>24</v>
      </c>
      <c r="C414">
        <v>6</v>
      </c>
      <c r="D414" t="s">
        <v>0</v>
      </c>
    </row>
    <row r="416" spans="1:5" x14ac:dyDescent="0.3">
      <c r="A416" t="s">
        <v>23</v>
      </c>
      <c r="C416" s="6">
        <v>6</v>
      </c>
      <c r="D416" s="6" t="s">
        <v>0</v>
      </c>
    </row>
    <row r="417" spans="1:4" x14ac:dyDescent="0.3">
      <c r="C417" s="3">
        <f>SUM(C414:C416)</f>
        <v>12</v>
      </c>
      <c r="D417" s="3" t="s">
        <v>0</v>
      </c>
    </row>
    <row r="420" spans="1:4" x14ac:dyDescent="0.3">
      <c r="A420" s="5" t="s">
        <v>22</v>
      </c>
    </row>
    <row r="421" spans="1:4" x14ac:dyDescent="0.3">
      <c r="A421" t="s">
        <v>21</v>
      </c>
      <c r="C421" s="3">
        <v>0</v>
      </c>
      <c r="D421" s="3" t="s">
        <v>0</v>
      </c>
    </row>
    <row r="426" spans="1:4" x14ac:dyDescent="0.3">
      <c r="A426" s="5" t="s">
        <v>20</v>
      </c>
    </row>
    <row r="427" spans="1:4" x14ac:dyDescent="0.3">
      <c r="A427" s="5"/>
    </row>
    <row r="428" spans="1:4" x14ac:dyDescent="0.3">
      <c r="A428" t="s">
        <v>12</v>
      </c>
      <c r="C428">
        <v>0</v>
      </c>
      <c r="D428" t="s">
        <v>11</v>
      </c>
    </row>
    <row r="430" spans="1:4" x14ac:dyDescent="0.3">
      <c r="A430" t="s">
        <v>326</v>
      </c>
      <c r="C430">
        <v>22.5</v>
      </c>
      <c r="D430" t="s">
        <v>11</v>
      </c>
    </row>
    <row r="431" spans="1:4" x14ac:dyDescent="0.3">
      <c r="A431" s="5"/>
    </row>
    <row r="432" spans="1:4" x14ac:dyDescent="0.3">
      <c r="A432" t="s">
        <v>19</v>
      </c>
    </row>
    <row r="433" spans="1:5" x14ac:dyDescent="0.3">
      <c r="A433" t="s">
        <v>4</v>
      </c>
      <c r="C433">
        <v>12</v>
      </c>
      <c r="D433" t="s">
        <v>3</v>
      </c>
    </row>
    <row r="435" spans="1:5" x14ac:dyDescent="0.3">
      <c r="A435" t="s">
        <v>18</v>
      </c>
    </row>
    <row r="436" spans="1:5" x14ac:dyDescent="0.3">
      <c r="A436" t="s">
        <v>4</v>
      </c>
      <c r="C436">
        <v>56</v>
      </c>
      <c r="D436" t="s">
        <v>3</v>
      </c>
    </row>
    <row r="438" spans="1:5" x14ac:dyDescent="0.3">
      <c r="A438" t="s">
        <v>17</v>
      </c>
    </row>
    <row r="439" spans="1:5" hidden="1" x14ac:dyDescent="0.3">
      <c r="A439" t="s">
        <v>15</v>
      </c>
      <c r="D439">
        <v>0</v>
      </c>
      <c r="E439" t="s">
        <v>6</v>
      </c>
    </row>
    <row r="440" spans="1:5" hidden="1" x14ac:dyDescent="0.3">
      <c r="A440" t="s">
        <v>7</v>
      </c>
      <c r="D440">
        <v>0</v>
      </c>
      <c r="E440" t="s">
        <v>6</v>
      </c>
    </row>
    <row r="441" spans="1:5" hidden="1" x14ac:dyDescent="0.3">
      <c r="A441" t="s">
        <v>5</v>
      </c>
      <c r="D441">
        <v>0</v>
      </c>
    </row>
    <row r="442" spans="1:5" x14ac:dyDescent="0.3">
      <c r="A442" t="s">
        <v>4</v>
      </c>
      <c r="C442">
        <f>D439*D440*D441</f>
        <v>0</v>
      </c>
      <c r="D442" t="s">
        <v>3</v>
      </c>
    </row>
    <row r="444" spans="1:5" x14ac:dyDescent="0.3">
      <c r="A444" t="s">
        <v>348</v>
      </c>
    </row>
    <row r="445" spans="1:5" hidden="1" x14ac:dyDescent="0.3">
      <c r="A445" t="s">
        <v>15</v>
      </c>
      <c r="D445">
        <v>0</v>
      </c>
      <c r="E445" t="s">
        <v>6</v>
      </c>
    </row>
    <row r="446" spans="1:5" hidden="1" x14ac:dyDescent="0.3">
      <c r="A446" t="s">
        <v>7</v>
      </c>
      <c r="D446">
        <v>0</v>
      </c>
      <c r="E446" t="s">
        <v>6</v>
      </c>
    </row>
    <row r="447" spans="1:5" hidden="1" x14ac:dyDescent="0.3">
      <c r="A447" t="s">
        <v>5</v>
      </c>
      <c r="D447">
        <v>0</v>
      </c>
    </row>
    <row r="448" spans="1:5" x14ac:dyDescent="0.3">
      <c r="A448" t="s">
        <v>4</v>
      </c>
      <c r="C448">
        <v>6</v>
      </c>
      <c r="D448" t="s">
        <v>3</v>
      </c>
    </row>
    <row r="450" spans="1:4" x14ac:dyDescent="0.3">
      <c r="A450" t="s">
        <v>341</v>
      </c>
    </row>
    <row r="451" spans="1:4" hidden="1" x14ac:dyDescent="0.3">
      <c r="A451" t="s">
        <v>15</v>
      </c>
      <c r="D451">
        <v>0</v>
      </c>
    </row>
    <row r="452" spans="1:4" hidden="1" x14ac:dyDescent="0.3">
      <c r="A452" t="s">
        <v>7</v>
      </c>
      <c r="D452">
        <v>0</v>
      </c>
    </row>
    <row r="453" spans="1:4" hidden="1" x14ac:dyDescent="0.3">
      <c r="A453" t="s">
        <v>5</v>
      </c>
      <c r="D453">
        <v>0</v>
      </c>
    </row>
    <row r="454" spans="1:4" x14ac:dyDescent="0.3">
      <c r="A454" t="s">
        <v>4</v>
      </c>
      <c r="C454">
        <v>93</v>
      </c>
      <c r="D454" t="s">
        <v>3</v>
      </c>
    </row>
    <row r="456" spans="1:4" x14ac:dyDescent="0.3">
      <c r="A456" t="s">
        <v>341</v>
      </c>
    </row>
    <row r="457" spans="1:4" hidden="1" x14ac:dyDescent="0.3">
      <c r="A457" t="s">
        <v>15</v>
      </c>
      <c r="D457">
        <v>0</v>
      </c>
    </row>
    <row r="458" spans="1:4" hidden="1" x14ac:dyDescent="0.3">
      <c r="A458" t="s">
        <v>7</v>
      </c>
      <c r="D458">
        <v>0</v>
      </c>
    </row>
    <row r="459" spans="1:4" hidden="1" x14ac:dyDescent="0.3">
      <c r="A459" t="s">
        <v>5</v>
      </c>
      <c r="D459">
        <v>0</v>
      </c>
    </row>
    <row r="460" spans="1:4" x14ac:dyDescent="0.3">
      <c r="A460" t="s">
        <v>4</v>
      </c>
      <c r="C460">
        <v>51</v>
      </c>
      <c r="D460" t="s">
        <v>3</v>
      </c>
    </row>
    <row r="462" spans="1:4" x14ac:dyDescent="0.3">
      <c r="A462" t="s">
        <v>14</v>
      </c>
      <c r="C462" s="3">
        <f>ROUNDUP(C428+C430+C433+C436+C442+C448+C454+C460,0)</f>
        <v>241</v>
      </c>
      <c r="D462" s="3" t="s">
        <v>3</v>
      </c>
    </row>
    <row r="465" spans="1:6" x14ac:dyDescent="0.3">
      <c r="A465" s="2" t="s">
        <v>1</v>
      </c>
      <c r="B465" s="1"/>
      <c r="C465" s="1"/>
      <c r="D465" s="3">
        <v>0</v>
      </c>
      <c r="E465" s="3" t="s">
        <v>0</v>
      </c>
    </row>
    <row r="466" spans="1:6" x14ac:dyDescent="0.3">
      <c r="A466" s="2"/>
      <c r="B466" s="2"/>
      <c r="C466" s="2"/>
    </row>
    <row r="467" spans="1:6" x14ac:dyDescent="0.3">
      <c r="A467" s="5" t="s">
        <v>13</v>
      </c>
    </row>
    <row r="468" spans="1:6" x14ac:dyDescent="0.3">
      <c r="A468" s="5"/>
    </row>
    <row r="469" spans="1:6" x14ac:dyDescent="0.3">
      <c r="A469" t="s">
        <v>12</v>
      </c>
      <c r="D469">
        <v>0</v>
      </c>
      <c r="E469" t="s">
        <v>11</v>
      </c>
      <c r="F469" t="s">
        <v>10</v>
      </c>
    </row>
    <row r="470" spans="1:6" x14ac:dyDescent="0.3">
      <c r="A470" t="s">
        <v>327</v>
      </c>
      <c r="D470">
        <v>15</v>
      </c>
      <c r="E470" t="s">
        <v>11</v>
      </c>
    </row>
    <row r="471" spans="1:6" x14ac:dyDescent="0.3">
      <c r="A471" t="s">
        <v>9</v>
      </c>
      <c r="D471">
        <v>18</v>
      </c>
      <c r="E471" t="s">
        <v>11</v>
      </c>
    </row>
    <row r="472" spans="1:6" x14ac:dyDescent="0.3">
      <c r="A472" t="s">
        <v>328</v>
      </c>
      <c r="D472">
        <v>24</v>
      </c>
      <c r="E472" t="s">
        <v>11</v>
      </c>
    </row>
    <row r="473" spans="1:6" x14ac:dyDescent="0.3">
      <c r="A473" t="s">
        <v>329</v>
      </c>
      <c r="D473">
        <v>26</v>
      </c>
      <c r="E473" t="s">
        <v>11</v>
      </c>
    </row>
    <row r="475" spans="1:6" x14ac:dyDescent="0.3">
      <c r="A475" t="s">
        <v>330</v>
      </c>
      <c r="D475" s="160">
        <f>SUM(D469:D473)*1.5</f>
        <v>124.5</v>
      </c>
      <c r="E475" s="3" t="s">
        <v>3</v>
      </c>
    </row>
    <row r="476" spans="1:6" x14ac:dyDescent="0.3">
      <c r="D476" s="159">
        <f>D475/9</f>
        <v>13.833333333333334</v>
      </c>
      <c r="E476" s="3" t="s">
        <v>2</v>
      </c>
    </row>
    <row r="480" spans="1:6" x14ac:dyDescent="0.3">
      <c r="A480" s="5" t="s">
        <v>371</v>
      </c>
    </row>
    <row r="482" spans="1:4" x14ac:dyDescent="0.3">
      <c r="A482" t="s">
        <v>376</v>
      </c>
    </row>
    <row r="483" spans="1:4" x14ac:dyDescent="0.3">
      <c r="A483" t="s">
        <v>374</v>
      </c>
      <c r="C483">
        <f>PI()*3</f>
        <v>9.4247779607693793</v>
      </c>
      <c r="D483" t="s">
        <v>6</v>
      </c>
    </row>
    <row r="484" spans="1:4" x14ac:dyDescent="0.3">
      <c r="A484" t="s">
        <v>375</v>
      </c>
      <c r="C484">
        <v>2</v>
      </c>
      <c r="D484" t="s">
        <v>6</v>
      </c>
    </row>
    <row r="485" spans="1:4" x14ac:dyDescent="0.3">
      <c r="A485" t="s">
        <v>373</v>
      </c>
      <c r="C485" s="6">
        <f>3*6</f>
        <v>18</v>
      </c>
      <c r="D485" s="6" t="s">
        <v>0</v>
      </c>
    </row>
    <row r="486" spans="1:4" x14ac:dyDescent="0.3">
      <c r="A486" t="s">
        <v>145</v>
      </c>
      <c r="C486">
        <f>ROUNDUP(C483*C484*C485,0)</f>
        <v>340</v>
      </c>
      <c r="D486" t="s">
        <v>11</v>
      </c>
    </row>
    <row r="489" spans="1:4" x14ac:dyDescent="0.3">
      <c r="A489" t="s">
        <v>377</v>
      </c>
    </row>
    <row r="491" spans="1:4" x14ac:dyDescent="0.3">
      <c r="A491" t="s">
        <v>383</v>
      </c>
      <c r="C491">
        <f>PI()*3</f>
        <v>9.4247779607693793</v>
      </c>
      <c r="D491" t="s">
        <v>6</v>
      </c>
    </row>
    <row r="492" spans="1:4" x14ac:dyDescent="0.3">
      <c r="A492" t="s">
        <v>387</v>
      </c>
      <c r="C492">
        <v>0</v>
      </c>
      <c r="D492" t="s">
        <v>6</v>
      </c>
    </row>
    <row r="493" spans="1:4" x14ac:dyDescent="0.3">
      <c r="A493" t="s">
        <v>385</v>
      </c>
      <c r="C493">
        <f>8+4</f>
        <v>12</v>
      </c>
      <c r="D493" t="s">
        <v>6</v>
      </c>
    </row>
    <row r="494" spans="1:4" x14ac:dyDescent="0.3">
      <c r="A494" t="s">
        <v>386</v>
      </c>
      <c r="C494">
        <f>9+4</f>
        <v>13</v>
      </c>
      <c r="D494" t="s">
        <v>6</v>
      </c>
    </row>
    <row r="495" spans="1:4" x14ac:dyDescent="0.3">
      <c r="C495">
        <f>C491*(C492+C493+C494)</f>
        <v>235.61944901923448</v>
      </c>
      <c r="D495" t="s">
        <v>11</v>
      </c>
    </row>
    <row r="497" spans="1:4" x14ac:dyDescent="0.3">
      <c r="A497" s="172" t="s">
        <v>384</v>
      </c>
      <c r="C497">
        <f>6+3+6+3</f>
        <v>18</v>
      </c>
      <c r="D497" t="s">
        <v>6</v>
      </c>
    </row>
    <row r="498" spans="1:4" x14ac:dyDescent="0.3">
      <c r="A498" t="s">
        <v>387</v>
      </c>
      <c r="C498">
        <v>8</v>
      </c>
      <c r="D498" t="s">
        <v>6</v>
      </c>
    </row>
    <row r="499" spans="1:4" x14ac:dyDescent="0.3">
      <c r="A499" t="s">
        <v>385</v>
      </c>
      <c r="C499">
        <v>12</v>
      </c>
      <c r="D499" t="s">
        <v>6</v>
      </c>
    </row>
    <row r="500" spans="1:4" x14ac:dyDescent="0.3">
      <c r="A500" t="s">
        <v>386</v>
      </c>
      <c r="C500">
        <v>12</v>
      </c>
      <c r="D500" t="s">
        <v>6</v>
      </c>
    </row>
    <row r="501" spans="1:4" x14ac:dyDescent="0.3">
      <c r="A501" t="s">
        <v>145</v>
      </c>
      <c r="C501">
        <f>C497*(C498+C499+C500)</f>
        <v>576</v>
      </c>
      <c r="D501" t="s">
        <v>11</v>
      </c>
    </row>
    <row r="504" spans="1:4" x14ac:dyDescent="0.3">
      <c r="A504" t="s">
        <v>388</v>
      </c>
      <c r="C504">
        <f>ROUNDUP(C486+C495+C501,0)</f>
        <v>1152</v>
      </c>
      <c r="D504" t="s">
        <v>11</v>
      </c>
    </row>
    <row r="510" spans="1:4" x14ac:dyDescent="0.3">
      <c r="A510" s="5" t="s">
        <v>380</v>
      </c>
    </row>
    <row r="512" spans="1:4" x14ac:dyDescent="0.3">
      <c r="A512" t="s">
        <v>381</v>
      </c>
      <c r="B512">
        <v>10</v>
      </c>
      <c r="C512" t="s">
        <v>0</v>
      </c>
    </row>
    <row r="513" spans="1:3" x14ac:dyDescent="0.3">
      <c r="A513" t="s">
        <v>382</v>
      </c>
      <c r="B513" s="6">
        <v>5</v>
      </c>
      <c r="C513" s="6" t="s">
        <v>0</v>
      </c>
    </row>
    <row r="514" spans="1:3" x14ac:dyDescent="0.3">
      <c r="B514">
        <f>SUM(B512:B513)</f>
        <v>15</v>
      </c>
      <c r="C514" t="s">
        <v>0</v>
      </c>
    </row>
  </sheetData>
  <mergeCells count="16">
    <mergeCell ref="AN371:AN372"/>
    <mergeCell ref="AY371:AY372"/>
    <mergeCell ref="BJ371:BJ372"/>
    <mergeCell ref="AN364:AN366"/>
    <mergeCell ref="AY364:AY366"/>
    <mergeCell ref="BJ364:BJ366"/>
    <mergeCell ref="AD368:AD369"/>
    <mergeCell ref="AN368:AN369"/>
    <mergeCell ref="AY368:AY369"/>
    <mergeCell ref="BJ368:BJ369"/>
    <mergeCell ref="A31:B32"/>
    <mergeCell ref="A47:B48"/>
    <mergeCell ref="A336:K338"/>
    <mergeCell ref="AM345:AS345"/>
    <mergeCell ref="AX345:BD345"/>
    <mergeCell ref="BI345:BO345"/>
  </mergeCells>
  <pageMargins left="0.7" right="0.7" top="0.75" bottom="0.75" header="0.3" footer="0.3"/>
  <pageSetup paperSize="1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5E41-B183-4C76-AFBD-C89E43E439BF}">
  <dimension ref="A1:J31"/>
  <sheetViews>
    <sheetView workbookViewId="0">
      <selection activeCell="C16" sqref="C16"/>
    </sheetView>
  </sheetViews>
  <sheetFormatPr defaultRowHeight="14.4" x14ac:dyDescent="0.3"/>
  <cols>
    <col min="1" max="4" width="12.33203125" customWidth="1"/>
    <col min="5" max="5" width="127.77734375" customWidth="1"/>
    <col min="6" max="7" width="12.33203125" customWidth="1"/>
    <col min="8" max="8" width="18.77734375" customWidth="1"/>
    <col min="9" max="10" width="12.33203125" customWidth="1"/>
  </cols>
  <sheetData>
    <row r="1" spans="1:10" ht="15" thickBot="1" x14ac:dyDescent="0.35">
      <c r="A1" s="183"/>
      <c r="B1" s="184"/>
      <c r="C1" s="184"/>
      <c r="D1" s="184"/>
      <c r="E1" s="118" t="s">
        <v>405</v>
      </c>
      <c r="F1" s="184" t="s">
        <v>402</v>
      </c>
      <c r="G1" s="184"/>
      <c r="H1" s="184"/>
      <c r="I1" s="184"/>
      <c r="J1" s="185"/>
    </row>
    <row r="2" spans="1:10" ht="15" thickBot="1" x14ac:dyDescent="0.35">
      <c r="A2" s="119" t="s">
        <v>264</v>
      </c>
      <c r="B2" s="120" t="s">
        <v>265</v>
      </c>
      <c r="C2" s="121" t="s">
        <v>266</v>
      </c>
      <c r="D2" s="122" t="s">
        <v>267</v>
      </c>
      <c r="E2" s="123" t="s">
        <v>268</v>
      </c>
      <c r="F2" s="124" t="s">
        <v>269</v>
      </c>
      <c r="G2" s="121" t="s">
        <v>270</v>
      </c>
      <c r="H2" s="121" t="s">
        <v>271</v>
      </c>
      <c r="I2" s="121" t="s">
        <v>272</v>
      </c>
      <c r="J2" s="125" t="s">
        <v>273</v>
      </c>
    </row>
    <row r="3" spans="1:10" x14ac:dyDescent="0.3">
      <c r="A3" s="126">
        <v>202</v>
      </c>
      <c r="B3" s="127">
        <v>11203</v>
      </c>
      <c r="C3" s="128" t="str">
        <f t="shared" ref="C3" si="0">IF(D3="LUMP","LS",IF(SUM(F3:I3)=0,"",(SUM(F3:I3))))</f>
        <v>LS</v>
      </c>
      <c r="D3" s="129" t="s">
        <v>274</v>
      </c>
      <c r="E3" s="130" t="s">
        <v>275</v>
      </c>
      <c r="F3" s="128" t="s">
        <v>274</v>
      </c>
      <c r="G3" s="128"/>
      <c r="H3" s="128" t="s">
        <v>274</v>
      </c>
      <c r="I3" s="128"/>
      <c r="J3" s="131">
        <v>11</v>
      </c>
    </row>
    <row r="4" spans="1:10" x14ac:dyDescent="0.3">
      <c r="A4" s="126">
        <v>510</v>
      </c>
      <c r="B4" s="127">
        <v>10001</v>
      </c>
      <c r="C4" s="134">
        <f t="shared" ref="C4" si="1">IF(D4="LUMP","LS",IF(SUM(F4:I4)=0,"",(SUM(F4:I4))))</f>
        <v>16</v>
      </c>
      <c r="D4" s="129" t="s">
        <v>0</v>
      </c>
      <c r="E4" s="130" t="s">
        <v>414</v>
      </c>
      <c r="F4" s="128">
        <v>16</v>
      </c>
      <c r="G4" s="128"/>
      <c r="H4" s="128"/>
      <c r="I4" s="128"/>
      <c r="J4" s="131">
        <v>12</v>
      </c>
    </row>
    <row r="5" spans="1:10" x14ac:dyDescent="0.3">
      <c r="A5" s="126">
        <v>511</v>
      </c>
      <c r="B5" s="127">
        <v>81300</v>
      </c>
      <c r="C5" s="134">
        <f t="shared" ref="C5" si="2">IF(D5="LUMP","LS",IF(SUM(F5:I5)=0,"",(SUM(F5:I5))))</f>
        <v>8</v>
      </c>
      <c r="D5" s="129" t="s">
        <v>0</v>
      </c>
      <c r="E5" s="130" t="s">
        <v>444</v>
      </c>
      <c r="F5" s="128">
        <v>8</v>
      </c>
      <c r="G5" s="128"/>
      <c r="H5" s="128"/>
      <c r="I5" s="128"/>
      <c r="J5" s="131"/>
    </row>
    <row r="6" spans="1:10" x14ac:dyDescent="0.3">
      <c r="A6" s="146">
        <v>512</v>
      </c>
      <c r="B6" s="133">
        <v>10100</v>
      </c>
      <c r="C6" s="134">
        <f t="shared" ref="C6" si="3">IF(D6="LUMP","LS",IF(SUM(F6:I6)=0,"",(SUM(F6:I6))))</f>
        <v>1058</v>
      </c>
      <c r="D6" s="135" t="s">
        <v>279</v>
      </c>
      <c r="E6" s="136" t="s">
        <v>408</v>
      </c>
      <c r="F6" s="134">
        <v>198</v>
      </c>
      <c r="G6" s="134">
        <v>276</v>
      </c>
      <c r="H6" s="134">
        <v>584</v>
      </c>
      <c r="I6" s="134"/>
      <c r="J6" s="131">
        <v>12</v>
      </c>
    </row>
    <row r="7" spans="1:10" hidden="1" x14ac:dyDescent="0.3">
      <c r="A7" s="146">
        <v>512</v>
      </c>
      <c r="B7" s="133">
        <v>10400</v>
      </c>
      <c r="C7" s="134">
        <f t="shared" ref="C7:C10" si="4">IF(D7="LUMP","LS",IF(SUM(F7:I7)=0,"",(SUM(F7:I7))))</f>
        <v>789</v>
      </c>
      <c r="D7" s="135" t="s">
        <v>279</v>
      </c>
      <c r="E7" s="136" t="s">
        <v>350</v>
      </c>
      <c r="F7" s="134"/>
      <c r="G7" s="134"/>
      <c r="H7" s="134">
        <v>789</v>
      </c>
      <c r="I7" s="134"/>
      <c r="J7" s="131"/>
    </row>
    <row r="8" spans="1:10" x14ac:dyDescent="0.3">
      <c r="A8" s="147" t="s">
        <v>280</v>
      </c>
      <c r="B8" s="133" t="s">
        <v>281</v>
      </c>
      <c r="C8" s="134">
        <f t="shared" si="4"/>
        <v>1058</v>
      </c>
      <c r="D8" s="135" t="s">
        <v>279</v>
      </c>
      <c r="E8" s="136" t="s">
        <v>282</v>
      </c>
      <c r="F8" s="134">
        <v>198</v>
      </c>
      <c r="G8" s="134">
        <v>276</v>
      </c>
      <c r="H8" s="134">
        <v>584</v>
      </c>
      <c r="I8" s="134"/>
      <c r="J8" s="138"/>
    </row>
    <row r="9" spans="1:10" x14ac:dyDescent="0.3">
      <c r="A9" s="147">
        <v>513</v>
      </c>
      <c r="B9" s="133">
        <v>10200</v>
      </c>
      <c r="C9" s="134">
        <f t="shared" si="4"/>
        <v>608</v>
      </c>
      <c r="D9" s="135" t="s">
        <v>434</v>
      </c>
      <c r="E9" s="136" t="s">
        <v>435</v>
      </c>
      <c r="F9" s="134"/>
      <c r="G9" s="134"/>
      <c r="H9" s="134">
        <v>608</v>
      </c>
      <c r="I9" s="134"/>
      <c r="J9" s="138"/>
    </row>
    <row r="10" spans="1:10" x14ac:dyDescent="0.3">
      <c r="A10" s="132" t="s">
        <v>283</v>
      </c>
      <c r="B10" s="133">
        <v>95020</v>
      </c>
      <c r="C10" s="128" t="str">
        <f t="shared" si="4"/>
        <v>LS</v>
      </c>
      <c r="D10" s="135" t="s">
        <v>274</v>
      </c>
      <c r="E10" s="136" t="s">
        <v>413</v>
      </c>
      <c r="F10" s="134"/>
      <c r="G10" s="134"/>
      <c r="H10" s="137" t="s">
        <v>274</v>
      </c>
      <c r="I10" s="134"/>
      <c r="J10" s="138">
        <v>12</v>
      </c>
    </row>
    <row r="11" spans="1:10" hidden="1" x14ac:dyDescent="0.3">
      <c r="A11" s="162" t="s">
        <v>283</v>
      </c>
      <c r="B11" s="148" t="s">
        <v>284</v>
      </c>
      <c r="C11" s="134">
        <f t="shared" ref="C11:C13" si="5">IF(D11="LUMP","LS",IF(SUM(F11:I11)=0,"",(SUM(F11:I11))))</f>
        <v>350</v>
      </c>
      <c r="D11" s="134" t="s">
        <v>0</v>
      </c>
      <c r="E11" s="149" t="s">
        <v>285</v>
      </c>
      <c r="F11" s="150"/>
      <c r="G11" s="151"/>
      <c r="H11" s="151">
        <v>350</v>
      </c>
      <c r="I11" s="151"/>
      <c r="J11" s="131" t="s">
        <v>276</v>
      </c>
    </row>
    <row r="12" spans="1:10" hidden="1" x14ac:dyDescent="0.3">
      <c r="A12" s="147">
        <v>513</v>
      </c>
      <c r="B12" s="133">
        <v>95030</v>
      </c>
      <c r="C12" s="134">
        <f t="shared" si="5"/>
        <v>6</v>
      </c>
      <c r="D12" s="135" t="s">
        <v>0</v>
      </c>
      <c r="E12" s="136" t="s">
        <v>286</v>
      </c>
      <c r="F12" s="134"/>
      <c r="G12" s="134"/>
      <c r="H12" s="134">
        <v>6</v>
      </c>
      <c r="I12" s="134"/>
      <c r="J12" s="131" t="s">
        <v>287</v>
      </c>
    </row>
    <row r="13" spans="1:10" hidden="1" x14ac:dyDescent="0.3">
      <c r="A13" s="147">
        <v>513</v>
      </c>
      <c r="B13" s="133">
        <v>95030</v>
      </c>
      <c r="C13" s="134">
        <f t="shared" si="5"/>
        <v>6</v>
      </c>
      <c r="D13" s="135" t="s">
        <v>0</v>
      </c>
      <c r="E13" s="136" t="s">
        <v>288</v>
      </c>
      <c r="F13" s="134"/>
      <c r="G13" s="134"/>
      <c r="H13" s="134">
        <v>6</v>
      </c>
      <c r="I13" s="134"/>
      <c r="J13" s="131" t="s">
        <v>276</v>
      </c>
    </row>
    <row r="14" spans="1:10" hidden="1" x14ac:dyDescent="0.3">
      <c r="A14" s="132"/>
      <c r="B14" s="133"/>
      <c r="C14" s="134"/>
      <c r="D14" s="135"/>
      <c r="E14" s="136"/>
      <c r="F14" s="134"/>
      <c r="G14" s="134"/>
      <c r="H14" s="137"/>
      <c r="I14" s="134"/>
      <c r="J14" s="138"/>
    </row>
    <row r="15" spans="1:10" x14ac:dyDescent="0.3">
      <c r="A15" s="132"/>
      <c r="B15" s="133"/>
      <c r="C15" s="134"/>
      <c r="D15" s="135"/>
      <c r="E15" s="136"/>
      <c r="F15" s="134"/>
      <c r="G15" s="134"/>
      <c r="H15" s="137"/>
      <c r="I15" s="134"/>
      <c r="J15" s="138"/>
    </row>
    <row r="16" spans="1:10" x14ac:dyDescent="0.3">
      <c r="A16" s="132" t="s">
        <v>289</v>
      </c>
      <c r="B16" s="133">
        <v>50</v>
      </c>
      <c r="C16" s="134">
        <f t="shared" ref="C16:C30" si="6">IF(D16="LUMP","LS",IF(SUM(F16:I16)=0,"",(SUM(F16:I16))))</f>
        <v>13148</v>
      </c>
      <c r="D16" s="135" t="s">
        <v>11</v>
      </c>
      <c r="E16" s="136" t="s">
        <v>124</v>
      </c>
      <c r="F16" s="134"/>
      <c r="G16" s="137"/>
      <c r="H16" s="137">
        <v>13148</v>
      </c>
      <c r="I16" s="134"/>
      <c r="J16" s="138"/>
    </row>
    <row r="17" spans="1:10" x14ac:dyDescent="0.3">
      <c r="A17" s="132" t="s">
        <v>289</v>
      </c>
      <c r="B17" s="133">
        <v>56</v>
      </c>
      <c r="C17" s="134">
        <f t="shared" si="6"/>
        <v>13148</v>
      </c>
      <c r="D17" s="135" t="s">
        <v>11</v>
      </c>
      <c r="E17" s="136" t="s">
        <v>290</v>
      </c>
      <c r="F17" s="134"/>
      <c r="G17" s="137"/>
      <c r="H17" s="137">
        <v>13148</v>
      </c>
      <c r="I17" s="134"/>
      <c r="J17" s="138"/>
    </row>
    <row r="18" spans="1:10" x14ac:dyDescent="0.3">
      <c r="A18" s="132" t="s">
        <v>289</v>
      </c>
      <c r="B18" s="133">
        <v>60</v>
      </c>
      <c r="C18" s="134">
        <f t="shared" si="6"/>
        <v>13148</v>
      </c>
      <c r="D18" s="135" t="s">
        <v>11</v>
      </c>
      <c r="E18" s="136" t="s">
        <v>291</v>
      </c>
      <c r="F18" s="134"/>
      <c r="G18" s="137"/>
      <c r="H18" s="137">
        <v>13148</v>
      </c>
      <c r="I18" s="134"/>
      <c r="J18" s="138"/>
    </row>
    <row r="19" spans="1:10" x14ac:dyDescent="0.3">
      <c r="A19" s="132" t="s">
        <v>289</v>
      </c>
      <c r="B19" s="133">
        <v>66</v>
      </c>
      <c r="C19" s="134">
        <f t="shared" si="6"/>
        <v>13148</v>
      </c>
      <c r="D19" s="135" t="s">
        <v>11</v>
      </c>
      <c r="E19" s="136" t="s">
        <v>292</v>
      </c>
      <c r="F19" s="134"/>
      <c r="G19" s="137"/>
      <c r="H19" s="137">
        <v>13148</v>
      </c>
      <c r="I19" s="134"/>
      <c r="J19" s="138"/>
    </row>
    <row r="20" spans="1:10" x14ac:dyDescent="0.3">
      <c r="A20" s="132" t="s">
        <v>289</v>
      </c>
      <c r="B20" s="133">
        <v>504</v>
      </c>
      <c r="C20" s="134">
        <f t="shared" si="6"/>
        <v>16</v>
      </c>
      <c r="D20" s="135" t="s">
        <v>293</v>
      </c>
      <c r="E20" s="136" t="s">
        <v>107</v>
      </c>
      <c r="F20" s="134"/>
      <c r="G20" s="137"/>
      <c r="H20" s="137">
        <v>16</v>
      </c>
      <c r="I20" s="134"/>
      <c r="J20" s="138"/>
    </row>
    <row r="21" spans="1:10" x14ac:dyDescent="0.3">
      <c r="A21" s="132" t="s">
        <v>289</v>
      </c>
      <c r="B21" s="133">
        <v>10000</v>
      </c>
      <c r="C21" s="134">
        <f t="shared" si="6"/>
        <v>6</v>
      </c>
      <c r="D21" s="135" t="s">
        <v>0</v>
      </c>
      <c r="E21" s="136" t="s">
        <v>102</v>
      </c>
      <c r="F21" s="134"/>
      <c r="G21" s="134"/>
      <c r="H21" s="137">
        <v>6</v>
      </c>
      <c r="I21" s="134"/>
      <c r="J21" s="138"/>
    </row>
    <row r="22" spans="1:10" x14ac:dyDescent="0.3">
      <c r="A22" s="132"/>
      <c r="B22" s="133"/>
      <c r="C22" s="134"/>
      <c r="D22" s="135"/>
      <c r="E22" s="136"/>
      <c r="F22" s="134"/>
      <c r="G22" s="134"/>
      <c r="H22" s="137"/>
      <c r="I22" s="134"/>
      <c r="J22" s="138"/>
    </row>
    <row r="23" spans="1:10" hidden="1" x14ac:dyDescent="0.3">
      <c r="A23" s="132" t="s">
        <v>294</v>
      </c>
      <c r="B23" s="133">
        <v>1300</v>
      </c>
      <c r="C23" s="134">
        <f t="shared" ref="C23:C24" si="7">IF(D23="LUMP","LS",IF(SUM(F23:I23)=0,"",(SUM(F23:I23))))</f>
        <v>224</v>
      </c>
      <c r="D23" s="135" t="s">
        <v>6</v>
      </c>
      <c r="E23" s="136" t="s">
        <v>300</v>
      </c>
      <c r="F23" s="134"/>
      <c r="G23" s="134"/>
      <c r="H23" s="137">
        <v>224</v>
      </c>
      <c r="I23" s="134"/>
      <c r="J23" s="138"/>
    </row>
    <row r="24" spans="1:10" x14ac:dyDescent="0.3">
      <c r="A24" s="132" t="s">
        <v>294</v>
      </c>
      <c r="B24" s="133">
        <v>44100</v>
      </c>
      <c r="C24" s="134">
        <f t="shared" si="7"/>
        <v>8</v>
      </c>
      <c r="D24" s="135" t="s">
        <v>0</v>
      </c>
      <c r="E24" s="136" t="s">
        <v>401</v>
      </c>
      <c r="F24" s="134"/>
      <c r="G24" s="134"/>
      <c r="H24" s="137">
        <v>8</v>
      </c>
      <c r="I24" s="134"/>
      <c r="J24" s="138"/>
    </row>
    <row r="25" spans="1:10" x14ac:dyDescent="0.3">
      <c r="A25" s="146"/>
      <c r="B25" s="133"/>
      <c r="C25" s="134" t="str">
        <f t="shared" si="6"/>
        <v/>
      </c>
      <c r="D25" s="154"/>
      <c r="E25" s="136" t="s">
        <v>367</v>
      </c>
      <c r="F25" s="134"/>
      <c r="G25" s="134"/>
      <c r="H25" s="134"/>
      <c r="I25" s="134"/>
      <c r="J25" s="138"/>
    </row>
    <row r="26" spans="1:10" x14ac:dyDescent="0.3">
      <c r="A26" s="126">
        <v>516</v>
      </c>
      <c r="B26" s="128">
        <v>47001</v>
      </c>
      <c r="C26" s="128" t="str">
        <f t="shared" si="6"/>
        <v>LS</v>
      </c>
      <c r="D26" s="128" t="s">
        <v>274</v>
      </c>
      <c r="E26" s="152" t="s">
        <v>299</v>
      </c>
      <c r="F26" s="128"/>
      <c r="G26" s="128"/>
      <c r="H26" s="128" t="s">
        <v>274</v>
      </c>
      <c r="I26" s="128"/>
      <c r="J26" s="153">
        <v>12</v>
      </c>
    </row>
    <row r="27" spans="1:10" x14ac:dyDescent="0.3">
      <c r="A27" s="126">
        <v>519</v>
      </c>
      <c r="B27" s="169" t="s">
        <v>379</v>
      </c>
      <c r="C27" s="134">
        <f t="shared" si="6"/>
        <v>387</v>
      </c>
      <c r="D27" s="128" t="s">
        <v>11</v>
      </c>
      <c r="E27" s="152" t="s">
        <v>372</v>
      </c>
      <c r="F27" s="128"/>
      <c r="G27" s="128">
        <v>387</v>
      </c>
      <c r="H27" s="128"/>
      <c r="I27" s="128"/>
      <c r="J27" s="153"/>
    </row>
    <row r="28" spans="1:10" x14ac:dyDescent="0.3">
      <c r="A28" s="126">
        <v>519</v>
      </c>
      <c r="B28" s="128">
        <v>11101</v>
      </c>
      <c r="C28" s="128">
        <f t="shared" si="6"/>
        <v>152</v>
      </c>
      <c r="D28" s="128" t="s">
        <v>11</v>
      </c>
      <c r="E28" s="9" t="s">
        <v>349</v>
      </c>
      <c r="F28" s="128">
        <v>29</v>
      </c>
      <c r="G28" s="128">
        <v>123</v>
      </c>
      <c r="H28" s="128"/>
      <c r="I28" s="128"/>
      <c r="J28" s="153">
        <v>12</v>
      </c>
    </row>
    <row r="29" spans="1:10" hidden="1" x14ac:dyDescent="0.3">
      <c r="A29" s="146">
        <v>519</v>
      </c>
      <c r="B29" s="134">
        <v>12300</v>
      </c>
      <c r="C29" s="134">
        <f t="shared" si="6"/>
        <v>10</v>
      </c>
      <c r="D29" s="134" t="s">
        <v>279</v>
      </c>
      <c r="E29" s="9" t="s">
        <v>298</v>
      </c>
      <c r="F29" s="134">
        <v>10</v>
      </c>
      <c r="G29" s="134"/>
      <c r="H29" s="134"/>
      <c r="I29" s="134"/>
      <c r="J29" s="138"/>
    </row>
    <row r="30" spans="1:10" x14ac:dyDescent="0.3">
      <c r="A30" s="146">
        <v>844</v>
      </c>
      <c r="B30" s="134">
        <v>20001</v>
      </c>
      <c r="C30" s="134">
        <f t="shared" si="6"/>
        <v>10</v>
      </c>
      <c r="D30" s="134" t="s">
        <v>0</v>
      </c>
      <c r="E30" s="9" t="s">
        <v>428</v>
      </c>
      <c r="F30" s="134">
        <v>4</v>
      </c>
      <c r="G30" s="134">
        <v>6</v>
      </c>
      <c r="H30" s="134"/>
      <c r="I30" s="9"/>
      <c r="J30" s="138">
        <v>12</v>
      </c>
    </row>
    <row r="31" spans="1:10" ht="15" thickBot="1" x14ac:dyDescent="0.35">
      <c r="A31" s="163"/>
      <c r="B31" s="164"/>
      <c r="C31" s="164"/>
      <c r="D31" s="164"/>
      <c r="E31" s="164"/>
      <c r="F31" s="164"/>
      <c r="G31" s="164"/>
      <c r="H31" s="164"/>
      <c r="I31" s="164"/>
      <c r="J31" s="165"/>
    </row>
  </sheetData>
  <mergeCells count="2">
    <mergeCell ref="A1:D1"/>
    <mergeCell ref="F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76FB-5345-4ED4-8BFA-F112C865BCA1}">
  <dimension ref="A1:BR497"/>
  <sheetViews>
    <sheetView workbookViewId="0">
      <selection activeCell="A8" sqref="A8:D12"/>
    </sheetView>
  </sheetViews>
  <sheetFormatPr defaultRowHeight="14.4" x14ac:dyDescent="0.3"/>
  <cols>
    <col min="2" max="2" width="17.21875" customWidth="1"/>
    <col min="3" max="3" width="21.5546875" customWidth="1"/>
    <col min="4" max="4" width="22" customWidth="1"/>
    <col min="5" max="5" width="10.6640625" customWidth="1"/>
    <col min="9" max="9" width="12.88671875" customWidth="1"/>
    <col min="10" max="10" width="10.44140625" customWidth="1"/>
    <col min="12" max="12" width="12.88671875" customWidth="1"/>
    <col min="13" max="13" width="12.109375" customWidth="1"/>
    <col min="14" max="14" width="14.44140625" customWidth="1"/>
    <col min="15" max="15" width="14" customWidth="1"/>
    <col min="16" max="28" width="12.88671875" customWidth="1"/>
    <col min="30" max="31" width="13.44140625" customWidth="1"/>
    <col min="32" max="32" width="11" customWidth="1"/>
    <col min="40" max="40" width="14.44140625" customWidth="1"/>
    <col min="51" max="51" width="17.33203125" customWidth="1"/>
    <col min="62" max="62" width="16.5546875" customWidth="1"/>
  </cols>
  <sheetData>
    <row r="1" spans="1:4" x14ac:dyDescent="0.3">
      <c r="A1" s="2" t="s">
        <v>219</v>
      </c>
    </row>
    <row r="3" spans="1:4" x14ac:dyDescent="0.3">
      <c r="A3" t="s">
        <v>218</v>
      </c>
      <c r="C3">
        <v>0</v>
      </c>
    </row>
    <row r="4" spans="1:4" x14ac:dyDescent="0.3">
      <c r="A4" t="s">
        <v>217</v>
      </c>
      <c r="C4">
        <v>0</v>
      </c>
    </row>
    <row r="5" spans="1:4" x14ac:dyDescent="0.3">
      <c r="A5" t="s">
        <v>216</v>
      </c>
      <c r="C5" s="6">
        <v>0</v>
      </c>
    </row>
    <row r="6" spans="1:4" x14ac:dyDescent="0.3">
      <c r="C6" s="3">
        <f>SUM(C3:C5)</f>
        <v>0</v>
      </c>
      <c r="D6" t="s">
        <v>0</v>
      </c>
    </row>
    <row r="8" spans="1:4" x14ac:dyDescent="0.3">
      <c r="A8" s="2" t="s">
        <v>445</v>
      </c>
    </row>
    <row r="9" spans="1:4" x14ac:dyDescent="0.3">
      <c r="A9" t="s">
        <v>24</v>
      </c>
      <c r="C9">
        <v>4</v>
      </c>
      <c r="D9" t="s">
        <v>0</v>
      </c>
    </row>
    <row r="11" spans="1:4" x14ac:dyDescent="0.3">
      <c r="A11" t="s">
        <v>23</v>
      </c>
      <c r="C11" s="6">
        <v>4</v>
      </c>
      <c r="D11" s="6" t="s">
        <v>0</v>
      </c>
    </row>
    <row r="12" spans="1:4" x14ac:dyDescent="0.3">
      <c r="C12" s="3">
        <f>SUM(C9:C11)</f>
        <v>8</v>
      </c>
      <c r="D12" s="3" t="s">
        <v>0</v>
      </c>
    </row>
    <row r="16" spans="1:4" x14ac:dyDescent="0.3">
      <c r="A16" s="2" t="s">
        <v>215</v>
      </c>
    </row>
    <row r="17" spans="1:5" x14ac:dyDescent="0.3">
      <c r="A17" s="5"/>
    </row>
    <row r="18" spans="1:5" x14ac:dyDescent="0.3">
      <c r="A18" s="1" t="s">
        <v>201</v>
      </c>
    </row>
    <row r="19" spans="1:5" x14ac:dyDescent="0.3">
      <c r="A19" t="s">
        <v>200</v>
      </c>
      <c r="D19">
        <v>4.37</v>
      </c>
      <c r="E19" t="s">
        <v>11</v>
      </c>
    </row>
    <row r="20" spans="1:5" x14ac:dyDescent="0.3">
      <c r="A20" t="s">
        <v>199</v>
      </c>
      <c r="D20">
        <v>876.2</v>
      </c>
      <c r="E20" t="s">
        <v>6</v>
      </c>
    </row>
    <row r="21" spans="1:5" x14ac:dyDescent="0.3">
      <c r="A21" t="s">
        <v>198</v>
      </c>
      <c r="D21">
        <v>0</v>
      </c>
      <c r="E21" t="s">
        <v>0</v>
      </c>
    </row>
    <row r="22" spans="1:5" x14ac:dyDescent="0.3">
      <c r="A22" t="s">
        <v>189</v>
      </c>
      <c r="D22">
        <f>D19*D20*D21</f>
        <v>0</v>
      </c>
      <c r="E22" t="s">
        <v>214</v>
      </c>
    </row>
    <row r="23" spans="1:5" x14ac:dyDescent="0.3">
      <c r="D23">
        <f>ROUNDUP(D22/27,0)</f>
        <v>0</v>
      </c>
      <c r="E23" t="s">
        <v>187</v>
      </c>
    </row>
    <row r="25" spans="1:5" x14ac:dyDescent="0.3">
      <c r="A25" s="1" t="s">
        <v>213</v>
      </c>
    </row>
    <row r="27" spans="1:5" x14ac:dyDescent="0.3">
      <c r="A27" t="s">
        <v>211</v>
      </c>
      <c r="D27">
        <v>0</v>
      </c>
      <c r="E27" t="s">
        <v>6</v>
      </c>
    </row>
    <row r="28" spans="1:5" x14ac:dyDescent="0.3">
      <c r="A28" t="s">
        <v>35</v>
      </c>
      <c r="D28">
        <v>42</v>
      </c>
      <c r="E28" t="s">
        <v>6</v>
      </c>
    </row>
    <row r="29" spans="1:5" x14ac:dyDescent="0.3">
      <c r="A29" t="s">
        <v>210</v>
      </c>
      <c r="D29">
        <v>9</v>
      </c>
      <c r="E29" t="s">
        <v>206</v>
      </c>
    </row>
    <row r="30" spans="1:5" x14ac:dyDescent="0.3">
      <c r="A30" t="s">
        <v>209</v>
      </c>
      <c r="D30">
        <v>2.5</v>
      </c>
      <c r="E30" t="s">
        <v>206</v>
      </c>
    </row>
    <row r="31" spans="1:5" x14ac:dyDescent="0.3">
      <c r="A31" t="s">
        <v>208</v>
      </c>
      <c r="D31">
        <v>11.55</v>
      </c>
      <c r="E31" t="s">
        <v>206</v>
      </c>
    </row>
    <row r="32" spans="1:5" x14ac:dyDescent="0.3">
      <c r="A32" s="188" t="s">
        <v>207</v>
      </c>
      <c r="B32" s="188"/>
    </row>
    <row r="33" spans="1:5" x14ac:dyDescent="0.3">
      <c r="A33" s="188"/>
      <c r="B33" s="188"/>
      <c r="D33">
        <v>2.5</v>
      </c>
      <c r="E33" t="s">
        <v>206</v>
      </c>
    </row>
    <row r="34" spans="1:5" x14ac:dyDescent="0.3">
      <c r="A34" t="s">
        <v>205</v>
      </c>
      <c r="D34">
        <v>2</v>
      </c>
      <c r="E34" t="s">
        <v>6</v>
      </c>
    </row>
    <row r="35" spans="1:5" x14ac:dyDescent="0.3">
      <c r="A35" t="s">
        <v>204</v>
      </c>
      <c r="D35">
        <v>1.333</v>
      </c>
      <c r="E35" t="s">
        <v>6</v>
      </c>
    </row>
    <row r="37" spans="1:5" x14ac:dyDescent="0.3">
      <c r="A37" t="s">
        <v>203</v>
      </c>
      <c r="D37">
        <f>(D27*D28*(D31/12))+(3*(D27*(D29/12+D35)*D30/12))+(2*(D27*(D29/12+D34+(D35/(2*12))*D33)))</f>
        <v>0</v>
      </c>
      <c r="E37" t="s">
        <v>188</v>
      </c>
    </row>
    <row r="38" spans="1:5" x14ac:dyDescent="0.3">
      <c r="D38">
        <f>D37/27</f>
        <v>0</v>
      </c>
      <c r="E38" t="s">
        <v>187</v>
      </c>
    </row>
    <row r="41" spans="1:5" x14ac:dyDescent="0.3">
      <c r="A41" s="1" t="s">
        <v>212</v>
      </c>
    </row>
    <row r="43" spans="1:5" x14ac:dyDescent="0.3">
      <c r="A43" t="s">
        <v>211</v>
      </c>
      <c r="D43">
        <v>0</v>
      </c>
      <c r="E43" t="s">
        <v>6</v>
      </c>
    </row>
    <row r="44" spans="1:5" x14ac:dyDescent="0.3">
      <c r="A44" t="s">
        <v>35</v>
      </c>
      <c r="D44">
        <v>42</v>
      </c>
      <c r="E44" t="s">
        <v>6</v>
      </c>
    </row>
    <row r="45" spans="1:5" x14ac:dyDescent="0.3">
      <c r="A45" t="s">
        <v>210</v>
      </c>
      <c r="D45">
        <v>9</v>
      </c>
      <c r="E45" t="s">
        <v>206</v>
      </c>
    </row>
    <row r="46" spans="1:5" ht="15" customHeight="1" x14ac:dyDescent="0.3">
      <c r="A46" t="s">
        <v>209</v>
      </c>
      <c r="D46">
        <v>2.5</v>
      </c>
      <c r="E46" t="s">
        <v>206</v>
      </c>
    </row>
    <row r="47" spans="1:5" x14ac:dyDescent="0.3">
      <c r="A47" t="s">
        <v>208</v>
      </c>
      <c r="D47">
        <v>11.55</v>
      </c>
      <c r="E47" t="s">
        <v>206</v>
      </c>
    </row>
    <row r="48" spans="1:5" x14ac:dyDescent="0.3">
      <c r="A48" s="188" t="s">
        <v>207</v>
      </c>
      <c r="B48" s="188"/>
    </row>
    <row r="49" spans="1:5" x14ac:dyDescent="0.3">
      <c r="A49" s="188"/>
      <c r="B49" s="188"/>
      <c r="D49">
        <v>2.5</v>
      </c>
      <c r="E49" t="s">
        <v>206</v>
      </c>
    </row>
    <row r="50" spans="1:5" x14ac:dyDescent="0.3">
      <c r="A50" t="s">
        <v>205</v>
      </c>
      <c r="D50">
        <v>2</v>
      </c>
      <c r="E50" t="s">
        <v>6</v>
      </c>
    </row>
    <row r="51" spans="1:5" x14ac:dyDescent="0.3">
      <c r="A51" t="s">
        <v>204</v>
      </c>
      <c r="D51">
        <v>1.333</v>
      </c>
      <c r="E51" t="s">
        <v>6</v>
      </c>
    </row>
    <row r="53" spans="1:5" x14ac:dyDescent="0.3">
      <c r="A53" t="s">
        <v>203</v>
      </c>
      <c r="D53">
        <f>(D43*D44*(D47/12))+(3*(D43*(D45/12+D51)*D46/12))+(2*(D43*(D45/12+D50+(D51/(2*12))*D49)))</f>
        <v>0</v>
      </c>
      <c r="E53" t="s">
        <v>188</v>
      </c>
    </row>
    <row r="54" spans="1:5" x14ac:dyDescent="0.3">
      <c r="D54">
        <f>D53/27</f>
        <v>0</v>
      </c>
      <c r="E54" t="s">
        <v>187</v>
      </c>
    </row>
    <row r="56" spans="1:5" x14ac:dyDescent="0.3">
      <c r="A56" s="3" t="s">
        <v>133</v>
      </c>
      <c r="B56" s="3"/>
      <c r="C56" s="3"/>
      <c r="D56" s="3">
        <f>ROUNDUP(D23+D38+D54,0)</f>
        <v>0</v>
      </c>
      <c r="E56" s="3" t="s">
        <v>187</v>
      </c>
    </row>
    <row r="58" spans="1:5" x14ac:dyDescent="0.3">
      <c r="A58" s="2" t="s">
        <v>202</v>
      </c>
    </row>
    <row r="60" spans="1:5" x14ac:dyDescent="0.3">
      <c r="A60" s="1" t="s">
        <v>201</v>
      </c>
    </row>
    <row r="61" spans="1:5" x14ac:dyDescent="0.3">
      <c r="A61" t="s">
        <v>200</v>
      </c>
      <c r="D61">
        <f>2*1.5</f>
        <v>3</v>
      </c>
      <c r="E61" t="s">
        <v>11</v>
      </c>
    </row>
    <row r="62" spans="1:5" x14ac:dyDescent="0.3">
      <c r="A62" t="s">
        <v>199</v>
      </c>
      <c r="D62">
        <v>0</v>
      </c>
      <c r="E62" t="s">
        <v>6</v>
      </c>
    </row>
    <row r="63" spans="1:5" x14ac:dyDescent="0.3">
      <c r="A63" t="s">
        <v>198</v>
      </c>
      <c r="D63">
        <v>1</v>
      </c>
      <c r="E63" t="s">
        <v>0</v>
      </c>
    </row>
    <row r="64" spans="1:5" x14ac:dyDescent="0.3">
      <c r="A64" t="s">
        <v>197</v>
      </c>
      <c r="D64">
        <v>2</v>
      </c>
      <c r="E64" t="s">
        <v>196</v>
      </c>
    </row>
    <row r="65" spans="1:5" x14ac:dyDescent="0.3">
      <c r="A65" t="s">
        <v>195</v>
      </c>
      <c r="D65">
        <v>0</v>
      </c>
      <c r="E65" t="s">
        <v>0</v>
      </c>
    </row>
    <row r="67" spans="1:5" x14ac:dyDescent="0.3">
      <c r="A67" t="s">
        <v>189</v>
      </c>
      <c r="D67">
        <f>(D61*D62*D63/27)+(D64*D65)</f>
        <v>0</v>
      </c>
      <c r="E67" t="s">
        <v>187</v>
      </c>
    </row>
    <row r="70" spans="1:5" x14ac:dyDescent="0.3">
      <c r="A70" s="1" t="s">
        <v>194</v>
      </c>
    </row>
    <row r="72" spans="1:5" x14ac:dyDescent="0.3">
      <c r="A72" t="s">
        <v>192</v>
      </c>
      <c r="D72">
        <v>1.25</v>
      </c>
      <c r="E72" t="s">
        <v>6</v>
      </c>
    </row>
    <row r="73" spans="1:5" x14ac:dyDescent="0.3">
      <c r="A73" t="s">
        <v>191</v>
      </c>
      <c r="D73">
        <v>0</v>
      </c>
      <c r="E73" t="s">
        <v>6</v>
      </c>
    </row>
    <row r="74" spans="1:5" x14ac:dyDescent="0.3">
      <c r="A74" t="s">
        <v>190</v>
      </c>
      <c r="D74">
        <v>1.7</v>
      </c>
      <c r="E74" t="s">
        <v>6</v>
      </c>
    </row>
    <row r="76" spans="1:5" x14ac:dyDescent="0.3">
      <c r="A76" t="s">
        <v>189</v>
      </c>
      <c r="D76">
        <f>D72*D73*D74</f>
        <v>0</v>
      </c>
      <c r="E76" t="s">
        <v>188</v>
      </c>
    </row>
    <row r="77" spans="1:5" x14ac:dyDescent="0.3">
      <c r="D77">
        <f>D76/27</f>
        <v>0</v>
      </c>
      <c r="E77" t="s">
        <v>187</v>
      </c>
    </row>
    <row r="79" spans="1:5" x14ac:dyDescent="0.3">
      <c r="A79" s="1" t="s">
        <v>193</v>
      </c>
    </row>
    <row r="81" spans="1:6" x14ac:dyDescent="0.3">
      <c r="A81" t="s">
        <v>192</v>
      </c>
      <c r="D81">
        <v>1.25</v>
      </c>
      <c r="E81" t="s">
        <v>6</v>
      </c>
    </row>
    <row r="82" spans="1:6" x14ac:dyDescent="0.3">
      <c r="A82" t="s">
        <v>191</v>
      </c>
      <c r="D82">
        <v>0</v>
      </c>
      <c r="E82" t="s">
        <v>6</v>
      </c>
    </row>
    <row r="83" spans="1:6" x14ac:dyDescent="0.3">
      <c r="A83" t="s">
        <v>190</v>
      </c>
      <c r="D83">
        <v>1.7</v>
      </c>
      <c r="E83" t="s">
        <v>6</v>
      </c>
    </row>
    <row r="85" spans="1:6" x14ac:dyDescent="0.3">
      <c r="A85" t="s">
        <v>189</v>
      </c>
      <c r="D85">
        <f>D81*D82*D83</f>
        <v>0</v>
      </c>
      <c r="E85" t="s">
        <v>188</v>
      </c>
    </row>
    <row r="86" spans="1:6" x14ac:dyDescent="0.3">
      <c r="D86">
        <f>D85/27</f>
        <v>0</v>
      </c>
      <c r="E86" t="s">
        <v>187</v>
      </c>
    </row>
    <row r="87" spans="1:6" x14ac:dyDescent="0.3">
      <c r="F87">
        <v>0</v>
      </c>
    </row>
    <row r="88" spans="1:6" x14ac:dyDescent="0.3">
      <c r="A88" s="3" t="s">
        <v>21</v>
      </c>
      <c r="B88" s="3"/>
      <c r="C88" s="3"/>
      <c r="D88" s="3">
        <f>ROUNDUP((D67+D77+D86),0)</f>
        <v>0</v>
      </c>
      <c r="E88" s="3" t="s">
        <v>187</v>
      </c>
    </row>
    <row r="92" spans="1:6" x14ac:dyDescent="0.3">
      <c r="B92" s="1"/>
      <c r="C92" s="1"/>
      <c r="D92" s="1"/>
      <c r="E92" s="1"/>
    </row>
    <row r="93" spans="1:6" x14ac:dyDescent="0.3">
      <c r="A93" s="107" t="s">
        <v>186</v>
      </c>
      <c r="B93" s="1"/>
      <c r="C93" s="1"/>
      <c r="D93" s="1"/>
      <c r="E93" s="1"/>
    </row>
    <row r="94" spans="1:6" x14ac:dyDescent="0.3">
      <c r="A94" s="5"/>
    </row>
    <row r="95" spans="1:6" x14ac:dyDescent="0.3">
      <c r="A95" s="6" t="s">
        <v>170</v>
      </c>
      <c r="B95" s="6"/>
    </row>
    <row r="96" spans="1:6" x14ac:dyDescent="0.3">
      <c r="A96" t="s">
        <v>169</v>
      </c>
      <c r="D96">
        <v>235.6</v>
      </c>
      <c r="E96" t="s">
        <v>6</v>
      </c>
    </row>
    <row r="97" spans="1:5" x14ac:dyDescent="0.3">
      <c r="A97" t="s">
        <v>168</v>
      </c>
      <c r="D97">
        <f>2.66+1.5+2.66+0.16+1+0.16+3</f>
        <v>11.14</v>
      </c>
      <c r="E97" t="s">
        <v>6</v>
      </c>
    </row>
    <row r="98" spans="1:5" x14ac:dyDescent="0.3">
      <c r="A98" t="s">
        <v>167</v>
      </c>
      <c r="D98">
        <v>2</v>
      </c>
    </row>
    <row r="99" spans="1:5" x14ac:dyDescent="0.3">
      <c r="A99" t="s">
        <v>166</v>
      </c>
      <c r="D99">
        <f>D96*D97*D98</f>
        <v>5249.1680000000006</v>
      </c>
      <c r="E99" t="s">
        <v>3</v>
      </c>
    </row>
    <row r="100" spans="1:5" x14ac:dyDescent="0.3">
      <c r="D100" s="8">
        <f>D99/9</f>
        <v>583.240888888889</v>
      </c>
      <c r="E100" t="s">
        <v>2</v>
      </c>
    </row>
    <row r="102" spans="1:5" x14ac:dyDescent="0.3">
      <c r="A102" s="1" t="s">
        <v>185</v>
      </c>
    </row>
    <row r="103" spans="1:5" x14ac:dyDescent="0.3">
      <c r="A103" t="s">
        <v>184</v>
      </c>
      <c r="D103">
        <v>3</v>
      </c>
    </row>
    <row r="104" spans="1:5" x14ac:dyDescent="0.3">
      <c r="A104" t="s">
        <v>183</v>
      </c>
      <c r="D104">
        <v>3</v>
      </c>
      <c r="E104" t="s">
        <v>6</v>
      </c>
    </row>
    <row r="105" spans="1:5" x14ac:dyDescent="0.3">
      <c r="A105" t="s">
        <v>358</v>
      </c>
      <c r="D105">
        <v>38.5</v>
      </c>
      <c r="E105" t="s">
        <v>6</v>
      </c>
    </row>
    <row r="106" spans="1:5" x14ac:dyDescent="0.3">
      <c r="A106" t="s">
        <v>182</v>
      </c>
      <c r="D106">
        <f>D104*4.75</f>
        <v>14.25</v>
      </c>
      <c r="E106" t="s">
        <v>3</v>
      </c>
    </row>
    <row r="107" spans="1:5" x14ac:dyDescent="0.3">
      <c r="A107" t="s">
        <v>181</v>
      </c>
      <c r="D107">
        <v>2</v>
      </c>
    </row>
    <row r="109" spans="1:5" x14ac:dyDescent="0.3">
      <c r="A109" t="s">
        <v>180</v>
      </c>
      <c r="D109">
        <f>D104*D105</f>
        <v>115.5</v>
      </c>
      <c r="E109" t="s">
        <v>3</v>
      </c>
    </row>
    <row r="110" spans="1:5" x14ac:dyDescent="0.3">
      <c r="A110" t="s">
        <v>179</v>
      </c>
      <c r="D110">
        <v>1</v>
      </c>
    </row>
    <row r="112" spans="1:5" x14ac:dyDescent="0.3">
      <c r="A112" t="s">
        <v>178</v>
      </c>
      <c r="D112">
        <f>D105*(3+4.8)/2</f>
        <v>150.15</v>
      </c>
      <c r="E112" t="s">
        <v>3</v>
      </c>
    </row>
    <row r="113" spans="1:5" x14ac:dyDescent="0.3">
      <c r="A113" t="s">
        <v>177</v>
      </c>
      <c r="D113">
        <v>2</v>
      </c>
    </row>
    <row r="115" spans="1:5" x14ac:dyDescent="0.3">
      <c r="A115" t="s">
        <v>176</v>
      </c>
    </row>
    <row r="116" spans="1:5" x14ac:dyDescent="0.3">
      <c r="A116" t="s">
        <v>175</v>
      </c>
      <c r="D116">
        <v>20</v>
      </c>
      <c r="E116" t="s">
        <v>33</v>
      </c>
    </row>
    <row r="117" spans="1:5" x14ac:dyDescent="0.3">
      <c r="A117" t="s">
        <v>174</v>
      </c>
      <c r="D117" s="8">
        <v>38.5</v>
      </c>
      <c r="E117" t="s">
        <v>6</v>
      </c>
    </row>
    <row r="118" spans="1:5" x14ac:dyDescent="0.3">
      <c r="A118" t="s">
        <v>173</v>
      </c>
      <c r="D118" s="8">
        <f>(D117*D104-D121*PI()*(D123^2)/4)</f>
        <v>101.36283305884594</v>
      </c>
      <c r="E118" t="s">
        <v>3</v>
      </c>
    </row>
    <row r="120" spans="1:5" x14ac:dyDescent="0.3">
      <c r="A120" s="6" t="s">
        <v>351</v>
      </c>
      <c r="B120" s="166"/>
    </row>
    <row r="121" spans="1:5" x14ac:dyDescent="0.3">
      <c r="A121" t="s">
        <v>352</v>
      </c>
      <c r="D121">
        <v>2</v>
      </c>
      <c r="E121" t="s">
        <v>0</v>
      </c>
    </row>
    <row r="122" spans="1:5" x14ac:dyDescent="0.3">
      <c r="A122" t="s">
        <v>359</v>
      </c>
      <c r="D122" s="8">
        <f>AVERAGE(16,15,13.5)</f>
        <v>14.833333333333334</v>
      </c>
      <c r="E122" t="s">
        <v>6</v>
      </c>
    </row>
    <row r="123" spans="1:5" x14ac:dyDescent="0.3">
      <c r="A123" t="s">
        <v>353</v>
      </c>
      <c r="D123">
        <f>3</f>
        <v>3</v>
      </c>
      <c r="E123" t="s">
        <v>6</v>
      </c>
    </row>
    <row r="124" spans="1:5" x14ac:dyDescent="0.3">
      <c r="A124" t="s">
        <v>354</v>
      </c>
      <c r="D124" s="8">
        <f>PI()*D123</f>
        <v>9.4247779607693793</v>
      </c>
      <c r="E124" t="s">
        <v>6</v>
      </c>
    </row>
    <row r="125" spans="1:5" x14ac:dyDescent="0.3">
      <c r="A125" t="s">
        <v>355</v>
      </c>
      <c r="D125" s="8">
        <f>D121*D122*D124</f>
        <v>279.60174616949161</v>
      </c>
      <c r="E125" t="s">
        <v>3</v>
      </c>
    </row>
    <row r="128" spans="1:5" x14ac:dyDescent="0.3">
      <c r="A128" t="s">
        <v>145</v>
      </c>
      <c r="D128" s="8">
        <f>D103*(D106*D107+D109*D110+D112*D113+D118+D125)</f>
        <v>2475.7937376850132</v>
      </c>
      <c r="E128" t="s">
        <v>3</v>
      </c>
    </row>
    <row r="129" spans="1:9" x14ac:dyDescent="0.3">
      <c r="D129" s="8">
        <f>D128/9</f>
        <v>275.08819307611259</v>
      </c>
      <c r="E129" t="s">
        <v>2</v>
      </c>
    </row>
    <row r="134" spans="1:9" x14ac:dyDescent="0.3">
      <c r="A134" s="6" t="s">
        <v>164</v>
      </c>
      <c r="B134" s="6"/>
      <c r="C134" s="6"/>
      <c r="D134" s="6"/>
      <c r="E134" s="6"/>
      <c r="F134" s="6"/>
      <c r="G134" s="6"/>
      <c r="H134" s="6"/>
      <c r="I134" s="6"/>
    </row>
    <row r="136" spans="1:9" x14ac:dyDescent="0.3">
      <c r="A136" t="s">
        <v>162</v>
      </c>
      <c r="D136">
        <v>2</v>
      </c>
      <c r="E136" t="s">
        <v>6</v>
      </c>
    </row>
    <row r="137" spans="1:9" x14ac:dyDescent="0.3">
      <c r="A137" t="s">
        <v>161</v>
      </c>
      <c r="D137">
        <v>36.33</v>
      </c>
      <c r="E137" t="s">
        <v>6</v>
      </c>
    </row>
    <row r="138" spans="1:9" x14ac:dyDescent="0.3">
      <c r="A138" t="s">
        <v>160</v>
      </c>
      <c r="D138">
        <v>2.5</v>
      </c>
      <c r="E138" t="s">
        <v>6</v>
      </c>
    </row>
    <row r="139" spans="1:9" x14ac:dyDescent="0.3">
      <c r="A139" t="s">
        <v>159</v>
      </c>
      <c r="D139">
        <v>1.75</v>
      </c>
      <c r="E139" t="s">
        <v>6</v>
      </c>
    </row>
    <row r="140" spans="1:9" x14ac:dyDescent="0.3">
      <c r="A140" t="s">
        <v>158</v>
      </c>
      <c r="D140">
        <v>4.8</v>
      </c>
      <c r="E140" t="s">
        <v>6</v>
      </c>
    </row>
    <row r="141" spans="1:9" x14ac:dyDescent="0.3">
      <c r="A141" t="s">
        <v>157</v>
      </c>
      <c r="D141">
        <v>0</v>
      </c>
      <c r="E141" t="s">
        <v>6</v>
      </c>
    </row>
    <row r="143" spans="1:9" x14ac:dyDescent="0.3">
      <c r="A143" t="s">
        <v>156</v>
      </c>
      <c r="D143">
        <f>D137*D138</f>
        <v>90.824999999999989</v>
      </c>
      <c r="E143" t="s">
        <v>3</v>
      </c>
    </row>
    <row r="144" spans="1:9" x14ac:dyDescent="0.3">
      <c r="A144" t="s">
        <v>155</v>
      </c>
      <c r="D144">
        <f>D137*D136</f>
        <v>72.66</v>
      </c>
      <c r="E144" t="s">
        <v>3</v>
      </c>
    </row>
    <row r="145" spans="1:9" x14ac:dyDescent="0.3">
      <c r="A145" t="s">
        <v>154</v>
      </c>
      <c r="D145">
        <f>2*(D136*D138)</f>
        <v>10</v>
      </c>
      <c r="E145" t="s">
        <v>3</v>
      </c>
    </row>
    <row r="146" spans="1:9" x14ac:dyDescent="0.3">
      <c r="A146" t="s">
        <v>153</v>
      </c>
      <c r="D146">
        <f>4*D136*D141</f>
        <v>0</v>
      </c>
      <c r="E146" t="s">
        <v>3</v>
      </c>
    </row>
    <row r="147" spans="1:9" ht="15" customHeight="1" x14ac:dyDescent="0.3">
      <c r="A147" s="84" t="s">
        <v>152</v>
      </c>
      <c r="B147" s="25"/>
      <c r="D147">
        <f>D140*D137</f>
        <v>174.38399999999999</v>
      </c>
      <c r="E147" t="s">
        <v>3</v>
      </c>
    </row>
    <row r="148" spans="1:9" x14ac:dyDescent="0.3">
      <c r="A148" s="25"/>
      <c r="B148" s="25"/>
      <c r="I148" s="105"/>
    </row>
    <row r="149" spans="1:9" x14ac:dyDescent="0.3">
      <c r="A149" s="84" t="s">
        <v>151</v>
      </c>
      <c r="B149" s="71"/>
      <c r="D149">
        <f>2.666+1.5+2.66+0.16+1+0.16</f>
        <v>8.1460000000000008</v>
      </c>
      <c r="E149" t="s">
        <v>6</v>
      </c>
    </row>
    <row r="150" spans="1:9" x14ac:dyDescent="0.3">
      <c r="A150" s="84" t="s">
        <v>150</v>
      </c>
      <c r="B150" s="71"/>
      <c r="D150">
        <v>18</v>
      </c>
      <c r="E150" t="s">
        <v>6</v>
      </c>
    </row>
    <row r="151" spans="1:9" x14ac:dyDescent="0.3">
      <c r="A151" s="84" t="s">
        <v>149</v>
      </c>
      <c r="B151" s="71"/>
      <c r="D151">
        <f>D149*D150</f>
        <v>146.62800000000001</v>
      </c>
      <c r="E151" t="s">
        <v>3</v>
      </c>
    </row>
    <row r="152" spans="1:9" x14ac:dyDescent="0.3">
      <c r="A152" s="84" t="s">
        <v>148</v>
      </c>
      <c r="B152" s="82"/>
      <c r="D152">
        <v>2</v>
      </c>
      <c r="E152" t="s">
        <v>0</v>
      </c>
    </row>
    <row r="153" spans="1:9" x14ac:dyDescent="0.3">
      <c r="A153" s="84"/>
      <c r="B153" s="71"/>
    </row>
    <row r="154" spans="1:9" ht="15" customHeight="1" x14ac:dyDescent="0.3">
      <c r="A154" s="84" t="s">
        <v>147</v>
      </c>
      <c r="B154" s="82"/>
      <c r="D154">
        <v>100</v>
      </c>
      <c r="E154" t="s">
        <v>3</v>
      </c>
    </row>
    <row r="155" spans="1:9" x14ac:dyDescent="0.3">
      <c r="A155" s="84" t="s">
        <v>146</v>
      </c>
      <c r="B155" s="82"/>
      <c r="D155">
        <v>2</v>
      </c>
      <c r="E155" t="s">
        <v>0</v>
      </c>
    </row>
    <row r="156" spans="1:9" x14ac:dyDescent="0.3">
      <c r="A156" s="82"/>
      <c r="B156" s="82"/>
    </row>
    <row r="158" spans="1:9" x14ac:dyDescent="0.3">
      <c r="A158" t="s">
        <v>145</v>
      </c>
      <c r="D158" s="8">
        <f>D143+D144+D145+D146+D147+(D151*D152)+(D154*D155)</f>
        <v>841.125</v>
      </c>
      <c r="E158" t="s">
        <v>3</v>
      </c>
    </row>
    <row r="159" spans="1:9" x14ac:dyDescent="0.3">
      <c r="D159" s="8">
        <f>D158/9</f>
        <v>93.458333333333329</v>
      </c>
      <c r="E159" t="s">
        <v>2</v>
      </c>
    </row>
    <row r="162" spans="1:9" x14ac:dyDescent="0.3">
      <c r="A162" s="6" t="s">
        <v>163</v>
      </c>
      <c r="B162" s="6"/>
      <c r="C162" s="6"/>
      <c r="D162" s="6"/>
      <c r="E162" s="6"/>
      <c r="F162" s="6"/>
      <c r="G162" s="6"/>
      <c r="H162" s="6"/>
      <c r="I162" s="6"/>
    </row>
    <row r="164" spans="1:9" x14ac:dyDescent="0.3">
      <c r="A164" t="s">
        <v>162</v>
      </c>
      <c r="D164">
        <v>2</v>
      </c>
      <c r="E164" t="s">
        <v>6</v>
      </c>
    </row>
    <row r="165" spans="1:9" x14ac:dyDescent="0.3">
      <c r="A165" t="s">
        <v>161</v>
      </c>
      <c r="D165">
        <v>47.5</v>
      </c>
      <c r="E165" t="s">
        <v>6</v>
      </c>
    </row>
    <row r="166" spans="1:9" x14ac:dyDescent="0.3">
      <c r="A166" t="s">
        <v>160</v>
      </c>
      <c r="D166">
        <v>2.5</v>
      </c>
      <c r="E166" t="s">
        <v>6</v>
      </c>
    </row>
    <row r="167" spans="1:9" x14ac:dyDescent="0.3">
      <c r="A167" t="s">
        <v>159</v>
      </c>
      <c r="D167">
        <v>1.75</v>
      </c>
      <c r="E167" t="s">
        <v>6</v>
      </c>
    </row>
    <row r="168" spans="1:9" x14ac:dyDescent="0.3">
      <c r="A168" t="s">
        <v>158</v>
      </c>
      <c r="D168">
        <v>4.8</v>
      </c>
      <c r="E168" t="s">
        <v>6</v>
      </c>
    </row>
    <row r="169" spans="1:9" x14ac:dyDescent="0.3">
      <c r="A169" t="s">
        <v>157</v>
      </c>
      <c r="D169">
        <v>0</v>
      </c>
      <c r="E169" t="s">
        <v>6</v>
      </c>
    </row>
    <row r="171" spans="1:9" x14ac:dyDescent="0.3">
      <c r="A171" t="s">
        <v>156</v>
      </c>
      <c r="D171">
        <f>D165*D166</f>
        <v>118.75</v>
      </c>
      <c r="E171" t="s">
        <v>3</v>
      </c>
    </row>
    <row r="172" spans="1:9" x14ac:dyDescent="0.3">
      <c r="A172" t="s">
        <v>155</v>
      </c>
      <c r="D172">
        <f>D165*D164</f>
        <v>95</v>
      </c>
      <c r="E172" t="s">
        <v>3</v>
      </c>
    </row>
    <row r="173" spans="1:9" x14ac:dyDescent="0.3">
      <c r="A173" t="s">
        <v>154</v>
      </c>
      <c r="D173">
        <f>2*(D164*D166)</f>
        <v>10</v>
      </c>
      <c r="E173" t="s">
        <v>3</v>
      </c>
    </row>
    <row r="174" spans="1:9" ht="15" customHeight="1" x14ac:dyDescent="0.3">
      <c r="A174" t="s">
        <v>153</v>
      </c>
      <c r="D174">
        <f>4*D164*D169</f>
        <v>0</v>
      </c>
      <c r="E174" t="s">
        <v>3</v>
      </c>
    </row>
    <row r="175" spans="1:9" x14ac:dyDescent="0.3">
      <c r="A175" s="84" t="s">
        <v>152</v>
      </c>
      <c r="B175" s="25"/>
      <c r="D175">
        <f>D168*D165</f>
        <v>228</v>
      </c>
      <c r="E175" t="s">
        <v>3</v>
      </c>
    </row>
    <row r="176" spans="1:9" x14ac:dyDescent="0.3">
      <c r="A176" s="25"/>
      <c r="B176" s="25"/>
    </row>
    <row r="177" spans="1:5" x14ac:dyDescent="0.3">
      <c r="A177" s="84" t="s">
        <v>151</v>
      </c>
      <c r="B177" s="71"/>
      <c r="D177">
        <f>2.666+1.5+2.66+0.16+1+0.16</f>
        <v>8.1460000000000008</v>
      </c>
      <c r="E177" t="s">
        <v>6</v>
      </c>
    </row>
    <row r="178" spans="1:5" x14ac:dyDescent="0.3">
      <c r="A178" s="84" t="s">
        <v>150</v>
      </c>
      <c r="B178" s="71"/>
      <c r="D178">
        <f>AVERAGE(14,22)</f>
        <v>18</v>
      </c>
      <c r="E178" t="s">
        <v>6</v>
      </c>
    </row>
    <row r="179" spans="1:5" x14ac:dyDescent="0.3">
      <c r="A179" s="84" t="s">
        <v>149</v>
      </c>
      <c r="B179" s="71"/>
      <c r="D179">
        <f>D177*D178</f>
        <v>146.62800000000001</v>
      </c>
      <c r="E179" t="s">
        <v>3</v>
      </c>
    </row>
    <row r="180" spans="1:5" x14ac:dyDescent="0.3">
      <c r="A180" s="84" t="s">
        <v>148</v>
      </c>
      <c r="B180" s="82"/>
      <c r="D180">
        <v>2</v>
      </c>
      <c r="E180" t="s">
        <v>0</v>
      </c>
    </row>
    <row r="181" spans="1:5" ht="15" customHeight="1" x14ac:dyDescent="0.3">
      <c r="A181" s="84"/>
      <c r="B181" s="71"/>
    </row>
    <row r="182" spans="1:5" x14ac:dyDescent="0.3">
      <c r="A182" s="84" t="s">
        <v>147</v>
      </c>
      <c r="B182" s="82"/>
      <c r="D182" s="8">
        <f>18*8*0.66666</f>
        <v>95.999040000000008</v>
      </c>
      <c r="E182" t="s">
        <v>3</v>
      </c>
    </row>
    <row r="183" spans="1:5" x14ac:dyDescent="0.3">
      <c r="A183" s="84" t="s">
        <v>146</v>
      </c>
      <c r="B183" s="82"/>
      <c r="D183">
        <v>2</v>
      </c>
      <c r="E183" t="s">
        <v>0</v>
      </c>
    </row>
    <row r="184" spans="1:5" x14ac:dyDescent="0.3">
      <c r="A184" s="82"/>
      <c r="B184" s="82"/>
    </row>
    <row r="186" spans="1:5" x14ac:dyDescent="0.3">
      <c r="A186" t="s">
        <v>145</v>
      </c>
      <c r="D186" s="8">
        <f>D171+D172+D173+D174+D175+(D179*D180)+(D182*D183)</f>
        <v>937.00408000000016</v>
      </c>
      <c r="E186" t="s">
        <v>3</v>
      </c>
    </row>
    <row r="187" spans="1:5" x14ac:dyDescent="0.3">
      <c r="D187" s="8">
        <f>D186/9</f>
        <v>104.11156444444447</v>
      </c>
      <c r="E187" t="s">
        <v>2</v>
      </c>
    </row>
    <row r="189" spans="1:5" x14ac:dyDescent="0.3">
      <c r="A189" s="3" t="s">
        <v>144</v>
      </c>
      <c r="B189" s="3"/>
      <c r="C189" s="3"/>
      <c r="D189" s="4">
        <f>ROUNDUP(D100+D129+D159+D187,0)</f>
        <v>1056</v>
      </c>
      <c r="E189" s="3" t="s">
        <v>2</v>
      </c>
    </row>
    <row r="192" spans="1:5" x14ac:dyDescent="0.3">
      <c r="A192" s="2" t="s">
        <v>171</v>
      </c>
    </row>
    <row r="194" spans="1:9" x14ac:dyDescent="0.3">
      <c r="A194" s="6" t="s">
        <v>170</v>
      </c>
      <c r="B194" s="6"/>
    </row>
    <row r="195" spans="1:9" x14ac:dyDescent="0.3">
      <c r="A195" t="s">
        <v>169</v>
      </c>
      <c r="D195">
        <f>0.75+51.75+64.75+62.25+50.25+0.75</f>
        <v>230.5</v>
      </c>
      <c r="E195" t="s">
        <v>6</v>
      </c>
    </row>
    <row r="196" spans="1:9" x14ac:dyDescent="0.3">
      <c r="A196" t="s">
        <v>168</v>
      </c>
      <c r="D196">
        <v>10.5</v>
      </c>
      <c r="E196" t="s">
        <v>6</v>
      </c>
      <c r="F196">
        <f>(2.67+1.5+2.67+0.92+2.75)</f>
        <v>10.51</v>
      </c>
    </row>
    <row r="197" spans="1:9" x14ac:dyDescent="0.3">
      <c r="A197" t="s">
        <v>167</v>
      </c>
      <c r="D197">
        <v>2</v>
      </c>
    </row>
    <row r="198" spans="1:9" x14ac:dyDescent="0.3">
      <c r="A198" t="s">
        <v>166</v>
      </c>
      <c r="D198">
        <f>D195*D196*D197</f>
        <v>4840.5</v>
      </c>
      <c r="E198" t="s">
        <v>3</v>
      </c>
    </row>
    <row r="199" spans="1:9" x14ac:dyDescent="0.3">
      <c r="D199" s="106">
        <f>D198/9-(10*5.5/9)</f>
        <v>531.72222222222229</v>
      </c>
      <c r="E199" t="s">
        <v>2</v>
      </c>
      <c r="F199" s="104" t="s">
        <v>165</v>
      </c>
    </row>
    <row r="202" spans="1:9" x14ac:dyDescent="0.3">
      <c r="A202" s="6" t="s">
        <v>164</v>
      </c>
      <c r="B202" s="6"/>
      <c r="C202" s="6"/>
      <c r="D202" s="6"/>
      <c r="E202" s="6"/>
      <c r="F202" s="6"/>
      <c r="G202" s="6"/>
      <c r="H202" s="6"/>
      <c r="I202" s="6"/>
    </row>
    <row r="204" spans="1:9" x14ac:dyDescent="0.3">
      <c r="A204" t="s">
        <v>162</v>
      </c>
      <c r="D204">
        <v>2</v>
      </c>
      <c r="E204" t="s">
        <v>6</v>
      </c>
    </row>
    <row r="205" spans="1:9" x14ac:dyDescent="0.3">
      <c r="A205" t="s">
        <v>161</v>
      </c>
      <c r="D205">
        <v>48.17</v>
      </c>
      <c r="E205" t="s">
        <v>6</v>
      </c>
    </row>
    <row r="206" spans="1:9" x14ac:dyDescent="0.3">
      <c r="A206" t="s">
        <v>160</v>
      </c>
      <c r="D206">
        <v>2.5</v>
      </c>
      <c r="E206" t="s">
        <v>6</v>
      </c>
    </row>
    <row r="207" spans="1:9" x14ac:dyDescent="0.3">
      <c r="A207" t="s">
        <v>159</v>
      </c>
      <c r="D207">
        <v>1.75</v>
      </c>
      <c r="E207" t="s">
        <v>6</v>
      </c>
    </row>
    <row r="208" spans="1:9" x14ac:dyDescent="0.3">
      <c r="A208" t="s">
        <v>158</v>
      </c>
      <c r="D208">
        <v>8</v>
      </c>
      <c r="E208" t="s">
        <v>6</v>
      </c>
    </row>
    <row r="209" spans="1:9" x14ac:dyDescent="0.3">
      <c r="A209" t="s">
        <v>157</v>
      </c>
      <c r="D209">
        <v>7.75</v>
      </c>
      <c r="E209" t="s">
        <v>6</v>
      </c>
    </row>
    <row r="211" spans="1:9" x14ac:dyDescent="0.3">
      <c r="A211" t="s">
        <v>156</v>
      </c>
      <c r="D211">
        <f>D205*D206</f>
        <v>120.42500000000001</v>
      </c>
      <c r="E211" t="s">
        <v>3</v>
      </c>
    </row>
    <row r="212" spans="1:9" x14ac:dyDescent="0.3">
      <c r="A212" t="s">
        <v>155</v>
      </c>
      <c r="D212">
        <f>D205*D204</f>
        <v>96.34</v>
      </c>
      <c r="E212" t="s">
        <v>3</v>
      </c>
    </row>
    <row r="213" spans="1:9" x14ac:dyDescent="0.3">
      <c r="A213" t="s">
        <v>154</v>
      </c>
      <c r="D213">
        <f>2*(D204*D206)</f>
        <v>10</v>
      </c>
      <c r="E213" t="s">
        <v>3</v>
      </c>
    </row>
    <row r="214" spans="1:9" x14ac:dyDescent="0.3">
      <c r="A214" t="s">
        <v>153</v>
      </c>
      <c r="D214">
        <f>4*D204*D209</f>
        <v>62</v>
      </c>
      <c r="E214" t="s">
        <v>3</v>
      </c>
    </row>
    <row r="215" spans="1:9" ht="15" customHeight="1" x14ac:dyDescent="0.3">
      <c r="A215" s="84" t="s">
        <v>152</v>
      </c>
      <c r="B215" s="25"/>
      <c r="D215">
        <f>D208*D205</f>
        <v>385.36</v>
      </c>
      <c r="E215" t="s">
        <v>3</v>
      </c>
    </row>
    <row r="216" spans="1:9" x14ac:dyDescent="0.3">
      <c r="A216" s="25"/>
      <c r="B216" s="25"/>
      <c r="I216" s="105"/>
    </row>
    <row r="217" spans="1:9" x14ac:dyDescent="0.3">
      <c r="A217" s="84" t="s">
        <v>151</v>
      </c>
      <c r="B217" s="71"/>
      <c r="D217">
        <v>7.5</v>
      </c>
      <c r="E217" t="s">
        <v>6</v>
      </c>
    </row>
    <row r="218" spans="1:9" x14ac:dyDescent="0.3">
      <c r="A218" s="84" t="s">
        <v>150</v>
      </c>
      <c r="B218" s="71"/>
      <c r="D218">
        <v>29</v>
      </c>
      <c r="E218" t="s">
        <v>6</v>
      </c>
    </row>
    <row r="219" spans="1:9" x14ac:dyDescent="0.3">
      <c r="A219" s="84" t="s">
        <v>149</v>
      </c>
      <c r="B219" s="71"/>
      <c r="D219">
        <f>D217*D218</f>
        <v>217.5</v>
      </c>
      <c r="E219" t="s">
        <v>3</v>
      </c>
    </row>
    <row r="220" spans="1:9" x14ac:dyDescent="0.3">
      <c r="A220" s="84" t="s">
        <v>148</v>
      </c>
      <c r="B220" s="82"/>
      <c r="D220">
        <v>2</v>
      </c>
      <c r="E220" t="s">
        <v>0</v>
      </c>
    </row>
    <row r="221" spans="1:9" x14ac:dyDescent="0.3">
      <c r="A221" s="84"/>
      <c r="B221" s="71"/>
    </row>
    <row r="222" spans="1:9" ht="15" customHeight="1" x14ac:dyDescent="0.3">
      <c r="A222" s="84" t="s">
        <v>147</v>
      </c>
      <c r="B222" s="82"/>
      <c r="D222">
        <f>(20*8)+(3*4)+(6*3)</f>
        <v>190</v>
      </c>
      <c r="E222" t="s">
        <v>3</v>
      </c>
    </row>
    <row r="223" spans="1:9" x14ac:dyDescent="0.3">
      <c r="A223" s="84" t="s">
        <v>146</v>
      </c>
      <c r="B223" s="82"/>
      <c r="D223">
        <v>2</v>
      </c>
      <c r="E223" t="s">
        <v>0</v>
      </c>
    </row>
    <row r="224" spans="1:9" x14ac:dyDescent="0.3">
      <c r="A224" s="82"/>
      <c r="B224" s="82"/>
    </row>
    <row r="226" spans="1:9" x14ac:dyDescent="0.3">
      <c r="A226" t="s">
        <v>145</v>
      </c>
      <c r="D226" s="8">
        <f>D211+D212+D213+D214+D215+(D219*D220)+(D222*D223)</f>
        <v>1489.125</v>
      </c>
      <c r="E226" t="s">
        <v>3</v>
      </c>
    </row>
    <row r="227" spans="1:9" x14ac:dyDescent="0.3">
      <c r="D227" s="8">
        <f>D226/9</f>
        <v>165.45833333333334</v>
      </c>
      <c r="E227" t="s">
        <v>2</v>
      </c>
    </row>
    <row r="230" spans="1:9" x14ac:dyDescent="0.3">
      <c r="A230" s="6" t="s">
        <v>163</v>
      </c>
      <c r="B230" s="6"/>
      <c r="C230" s="6"/>
      <c r="D230" s="6"/>
      <c r="E230" s="6"/>
      <c r="F230" s="6"/>
      <c r="G230" s="6"/>
      <c r="H230" s="6"/>
      <c r="I230" s="6"/>
    </row>
    <row r="232" spans="1:9" x14ac:dyDescent="0.3">
      <c r="A232" t="s">
        <v>162</v>
      </c>
      <c r="D232">
        <v>2</v>
      </c>
      <c r="E232" t="s">
        <v>6</v>
      </c>
    </row>
    <row r="233" spans="1:9" x14ac:dyDescent="0.3">
      <c r="A233" t="s">
        <v>161</v>
      </c>
      <c r="D233">
        <v>48.17</v>
      </c>
      <c r="E233" t="s">
        <v>6</v>
      </c>
    </row>
    <row r="234" spans="1:9" x14ac:dyDescent="0.3">
      <c r="A234" t="s">
        <v>160</v>
      </c>
      <c r="D234">
        <v>2.5</v>
      </c>
      <c r="E234" t="s">
        <v>6</v>
      </c>
    </row>
    <row r="235" spans="1:9" x14ac:dyDescent="0.3">
      <c r="A235" t="s">
        <v>159</v>
      </c>
      <c r="D235">
        <v>1.75</v>
      </c>
      <c r="E235" t="s">
        <v>6</v>
      </c>
    </row>
    <row r="236" spans="1:9" x14ac:dyDescent="0.3">
      <c r="A236" t="s">
        <v>158</v>
      </c>
      <c r="D236">
        <v>8</v>
      </c>
      <c r="E236" t="s">
        <v>6</v>
      </c>
    </row>
    <row r="237" spans="1:9" x14ac:dyDescent="0.3">
      <c r="A237" t="s">
        <v>157</v>
      </c>
      <c r="D237">
        <v>7.75</v>
      </c>
      <c r="E237" t="s">
        <v>6</v>
      </c>
    </row>
    <row r="239" spans="1:9" x14ac:dyDescent="0.3">
      <c r="A239" t="s">
        <v>156</v>
      </c>
      <c r="D239">
        <f>D233*D234</f>
        <v>120.42500000000001</v>
      </c>
      <c r="E239" t="s">
        <v>3</v>
      </c>
    </row>
    <row r="240" spans="1:9" x14ac:dyDescent="0.3">
      <c r="A240" t="s">
        <v>155</v>
      </c>
      <c r="D240">
        <f>D233*D232</f>
        <v>96.34</v>
      </c>
      <c r="E240" t="s">
        <v>3</v>
      </c>
    </row>
    <row r="241" spans="1:5" x14ac:dyDescent="0.3">
      <c r="A241" t="s">
        <v>154</v>
      </c>
      <c r="D241">
        <f>2*(D232*D234)</f>
        <v>10</v>
      </c>
      <c r="E241" t="s">
        <v>3</v>
      </c>
    </row>
    <row r="242" spans="1:5" ht="15" customHeight="1" x14ac:dyDescent="0.3">
      <c r="A242" t="s">
        <v>153</v>
      </c>
      <c r="D242">
        <f>4*D232*D237</f>
        <v>62</v>
      </c>
      <c r="E242" t="s">
        <v>3</v>
      </c>
    </row>
    <row r="243" spans="1:5" x14ac:dyDescent="0.3">
      <c r="A243" s="84" t="s">
        <v>152</v>
      </c>
      <c r="B243" s="25"/>
      <c r="D243">
        <f>D236*D233</f>
        <v>385.36</v>
      </c>
      <c r="E243" t="s">
        <v>3</v>
      </c>
    </row>
    <row r="244" spans="1:5" x14ac:dyDescent="0.3">
      <c r="A244" s="25"/>
      <c r="B244" s="25"/>
    </row>
    <row r="245" spans="1:5" x14ac:dyDescent="0.3">
      <c r="A245" s="84" t="s">
        <v>151</v>
      </c>
      <c r="B245" s="71"/>
      <c r="D245">
        <v>7.5</v>
      </c>
      <c r="E245" t="s">
        <v>6</v>
      </c>
    </row>
    <row r="246" spans="1:5" x14ac:dyDescent="0.3">
      <c r="A246" s="84" t="s">
        <v>150</v>
      </c>
      <c r="B246" s="71"/>
      <c r="D246">
        <v>29</v>
      </c>
      <c r="E246" t="s">
        <v>6</v>
      </c>
    </row>
    <row r="247" spans="1:5" x14ac:dyDescent="0.3">
      <c r="A247" s="84" t="s">
        <v>149</v>
      </c>
      <c r="B247" s="71"/>
      <c r="D247">
        <f>D245*D246</f>
        <v>217.5</v>
      </c>
      <c r="E247" t="s">
        <v>3</v>
      </c>
    </row>
    <row r="248" spans="1:5" x14ac:dyDescent="0.3">
      <c r="A248" s="84" t="s">
        <v>148</v>
      </c>
      <c r="B248" s="82"/>
      <c r="D248">
        <v>2</v>
      </c>
      <c r="E248" t="s">
        <v>0</v>
      </c>
    </row>
    <row r="249" spans="1:5" ht="15" customHeight="1" x14ac:dyDescent="0.3">
      <c r="A249" s="84"/>
      <c r="B249" s="71"/>
    </row>
    <row r="250" spans="1:5" x14ac:dyDescent="0.3">
      <c r="A250" s="84" t="s">
        <v>147</v>
      </c>
      <c r="B250" s="82"/>
      <c r="D250">
        <f>(20*8)+(3*4)+(6*3)</f>
        <v>190</v>
      </c>
      <c r="E250" t="s">
        <v>3</v>
      </c>
    </row>
    <row r="251" spans="1:5" x14ac:dyDescent="0.3">
      <c r="A251" s="84" t="s">
        <v>146</v>
      </c>
      <c r="B251" s="82"/>
      <c r="D251">
        <v>2</v>
      </c>
      <c r="E251" t="s">
        <v>0</v>
      </c>
    </row>
    <row r="252" spans="1:5" x14ac:dyDescent="0.3">
      <c r="A252" s="82"/>
      <c r="B252" s="82"/>
    </row>
    <row r="254" spans="1:5" x14ac:dyDescent="0.3">
      <c r="A254" t="s">
        <v>145</v>
      </c>
      <c r="D254" s="8">
        <f>D239+D240+D241+D242+D243+(D247*D248)+(D250*D251)</f>
        <v>1489.125</v>
      </c>
      <c r="E254" t="s">
        <v>3</v>
      </c>
    </row>
    <row r="255" spans="1:5" x14ac:dyDescent="0.3">
      <c r="D255" s="8">
        <f>D254/9</f>
        <v>165.45833333333334</v>
      </c>
      <c r="E255" t="s">
        <v>2</v>
      </c>
    </row>
    <row r="257" spans="1:7" x14ac:dyDescent="0.3">
      <c r="A257" s="3" t="s">
        <v>144</v>
      </c>
      <c r="B257" s="3"/>
      <c r="C257" s="3"/>
      <c r="D257" s="4">
        <f>ROUNDUP(D199+D227+D255,0)</f>
        <v>863</v>
      </c>
      <c r="E257" s="3" t="s">
        <v>2</v>
      </c>
    </row>
    <row r="261" spans="1:7" x14ac:dyDescent="0.3">
      <c r="A261" s="5" t="s">
        <v>357</v>
      </c>
    </row>
    <row r="263" spans="1:7" x14ac:dyDescent="0.3">
      <c r="A263" t="s">
        <v>143</v>
      </c>
      <c r="D263">
        <v>25</v>
      </c>
      <c r="E263" t="s">
        <v>6</v>
      </c>
    </row>
    <row r="264" spans="1:7" x14ac:dyDescent="0.3">
      <c r="A264" t="s">
        <v>142</v>
      </c>
      <c r="D264">
        <v>26.5</v>
      </c>
      <c r="E264" t="s">
        <v>6</v>
      </c>
      <c r="F264" t="s">
        <v>136</v>
      </c>
    </row>
    <row r="265" spans="1:7" x14ac:dyDescent="0.3">
      <c r="A265" t="s">
        <v>141</v>
      </c>
      <c r="D265">
        <v>0</v>
      </c>
    </row>
    <row r="266" spans="1:7" x14ac:dyDescent="0.3">
      <c r="A266" t="s">
        <v>140</v>
      </c>
      <c r="D266">
        <f>D263*D264*D265</f>
        <v>0</v>
      </c>
      <c r="E266" t="s">
        <v>134</v>
      </c>
      <c r="F266">
        <f>D266/9</f>
        <v>0</v>
      </c>
      <c r="G266" t="s">
        <v>2</v>
      </c>
    </row>
    <row r="268" spans="1:7" x14ac:dyDescent="0.3">
      <c r="A268" t="s">
        <v>139</v>
      </c>
      <c r="D268">
        <f>0.75+51.75+64.04+58.31+42.3+0.75</f>
        <v>217.90000000000003</v>
      </c>
      <c r="E268" t="s">
        <v>6</v>
      </c>
      <c r="F268" t="s">
        <v>138</v>
      </c>
    </row>
    <row r="269" spans="1:7" x14ac:dyDescent="0.3">
      <c r="A269" t="s">
        <v>137</v>
      </c>
      <c r="D269">
        <v>0</v>
      </c>
      <c r="E269" t="s">
        <v>6</v>
      </c>
      <c r="F269" t="s">
        <v>136</v>
      </c>
    </row>
    <row r="270" spans="1:7" x14ac:dyDescent="0.3">
      <c r="A270" t="s">
        <v>135</v>
      </c>
      <c r="D270">
        <f>D268*D269</f>
        <v>0</v>
      </c>
      <c r="E270" t="s">
        <v>134</v>
      </c>
      <c r="F270">
        <f>D270/9</f>
        <v>0</v>
      </c>
      <c r="G270" t="s">
        <v>2</v>
      </c>
    </row>
    <row r="272" spans="1:7" x14ac:dyDescent="0.3">
      <c r="A272" s="3" t="s">
        <v>133</v>
      </c>
      <c r="B272" s="3">
        <f>ROUNDUP(F266+F270,0)</f>
        <v>0</v>
      </c>
      <c r="C272" s="3" t="s">
        <v>2</v>
      </c>
    </row>
    <row r="275" spans="1:7" x14ac:dyDescent="0.3">
      <c r="A275" s="5" t="s">
        <v>132</v>
      </c>
    </row>
    <row r="276" spans="1:7" x14ac:dyDescent="0.3">
      <c r="A276" t="s">
        <v>131</v>
      </c>
      <c r="F276">
        <v>0</v>
      </c>
      <c r="G276" t="s">
        <v>0</v>
      </c>
    </row>
    <row r="278" spans="1:7" x14ac:dyDescent="0.3">
      <c r="A278" s="2" t="s">
        <v>412</v>
      </c>
      <c r="G278" t="s">
        <v>274</v>
      </c>
    </row>
    <row r="279" spans="1:7" hidden="1" x14ac:dyDescent="0.3"/>
    <row r="280" spans="1:7" hidden="1" x14ac:dyDescent="0.3"/>
    <row r="281" spans="1:7" hidden="1" x14ac:dyDescent="0.3"/>
    <row r="282" spans="1:7" hidden="1" x14ac:dyDescent="0.3"/>
    <row r="283" spans="1:7" hidden="1" x14ac:dyDescent="0.3"/>
    <row r="284" spans="1:7" hidden="1" x14ac:dyDescent="0.3">
      <c r="A284" s="5" t="s">
        <v>132</v>
      </c>
    </row>
    <row r="285" spans="1:7" hidden="1" x14ac:dyDescent="0.3">
      <c r="A285" t="s">
        <v>131</v>
      </c>
      <c r="F285">
        <v>0</v>
      </c>
      <c r="G285" t="s">
        <v>0</v>
      </c>
    </row>
    <row r="286" spans="1:7" hidden="1" x14ac:dyDescent="0.3"/>
    <row r="288" spans="1:7" x14ac:dyDescent="0.3">
      <c r="A288" s="102" t="s">
        <v>436</v>
      </c>
      <c r="B288" s="6"/>
      <c r="C288" s="6"/>
    </row>
    <row r="289" spans="1:70" x14ac:dyDescent="0.3">
      <c r="A289" t="s">
        <v>437</v>
      </c>
      <c r="D289">
        <v>8</v>
      </c>
      <c r="E289" t="s">
        <v>0</v>
      </c>
    </row>
    <row r="290" spans="1:70" x14ac:dyDescent="0.3">
      <c r="A290" t="s">
        <v>439</v>
      </c>
      <c r="D290" s="8">
        <f>42*0.42</f>
        <v>17.64</v>
      </c>
      <c r="E290" t="s">
        <v>434</v>
      </c>
    </row>
    <row r="291" spans="1:70" x14ac:dyDescent="0.3">
      <c r="A291" t="s">
        <v>438</v>
      </c>
      <c r="D291" s="8">
        <f>(10.75*17*1.125)/1728*490</f>
        <v>58.299153645833329</v>
      </c>
      <c r="E291" t="s">
        <v>434</v>
      </c>
    </row>
    <row r="292" spans="1:70" x14ac:dyDescent="0.3">
      <c r="A292" t="s">
        <v>440</v>
      </c>
      <c r="D292">
        <f>ROUNDUP(D289*(D290+D291),0)</f>
        <v>608</v>
      </c>
      <c r="E292" t="s">
        <v>434</v>
      </c>
    </row>
    <row r="293" spans="1:70" x14ac:dyDescent="0.3">
      <c r="A293" s="104"/>
    </row>
    <row r="294" spans="1:70" x14ac:dyDescent="0.3">
      <c r="A294" s="194" t="s">
        <v>130</v>
      </c>
      <c r="B294" s="194"/>
      <c r="C294" s="194"/>
      <c r="D294" s="194"/>
      <c r="E294" s="194"/>
      <c r="F294" s="194"/>
      <c r="G294" s="194"/>
      <c r="H294" s="194"/>
      <c r="I294" s="194"/>
      <c r="J294" s="194"/>
      <c r="K294" s="194"/>
    </row>
    <row r="295" spans="1:70" x14ac:dyDescent="0.3">
      <c r="A295" s="194"/>
      <c r="B295" s="194"/>
      <c r="C295" s="194"/>
      <c r="D295" s="194"/>
      <c r="E295" s="194"/>
      <c r="F295" s="194"/>
      <c r="G295" s="194"/>
      <c r="H295" s="194"/>
      <c r="I295" s="194"/>
      <c r="J295" s="194"/>
      <c r="K295" s="194"/>
    </row>
    <row r="296" spans="1:70" x14ac:dyDescent="0.3">
      <c r="A296" s="194"/>
      <c r="B296" s="194"/>
      <c r="C296" s="194"/>
      <c r="D296" s="194"/>
      <c r="E296" s="194"/>
      <c r="F296" s="194"/>
      <c r="G296" s="194"/>
      <c r="H296" s="194"/>
      <c r="I296" s="194"/>
      <c r="J296" s="194"/>
      <c r="K296" s="194"/>
    </row>
    <row r="297" spans="1:70" ht="15.6" x14ac:dyDescent="0.3">
      <c r="G297" s="5" t="s">
        <v>129</v>
      </c>
      <c r="AR297" s="103"/>
    </row>
    <row r="298" spans="1:70" ht="15.6" x14ac:dyDescent="0.3">
      <c r="F298" s="102" t="s">
        <v>128</v>
      </c>
      <c r="G298" s="102" t="s">
        <v>127</v>
      </c>
      <c r="H298" s="34"/>
      <c r="I298" s="101" t="s">
        <v>62</v>
      </c>
      <c r="J298" s="9">
        <f>(2*(36))+(3*12.1)-(2*0.72)</f>
        <v>106.86</v>
      </c>
      <c r="K298" s="9" t="s">
        <v>64</v>
      </c>
      <c r="L298" s="101" t="s">
        <v>126</v>
      </c>
      <c r="N298" s="101" t="s">
        <v>62</v>
      </c>
      <c r="O298" s="9"/>
      <c r="P298" s="9" t="s">
        <v>64</v>
      </c>
      <c r="Q298" s="101" t="s">
        <v>126</v>
      </c>
      <c r="R298" s="101" t="s">
        <v>62</v>
      </c>
      <c r="S298" s="9"/>
      <c r="T298" s="9" t="s">
        <v>64</v>
      </c>
      <c r="U298" s="101" t="s">
        <v>126</v>
      </c>
      <c r="V298" s="100"/>
      <c r="W298" s="100"/>
      <c r="X298" s="100"/>
      <c r="Y298" s="100"/>
      <c r="Z298" s="100"/>
      <c r="AA298" s="100"/>
      <c r="AB298" s="100"/>
    </row>
    <row r="299" spans="1:70" ht="57.6" x14ac:dyDescent="0.3">
      <c r="B299">
        <v>514</v>
      </c>
      <c r="C299" s="87" t="s">
        <v>125</v>
      </c>
      <c r="D299" s="71" t="s">
        <v>124</v>
      </c>
      <c r="E299" t="s">
        <v>3</v>
      </c>
      <c r="F299" s="83">
        <f>N335</f>
        <v>13147.744749704807</v>
      </c>
      <c r="G299" s="53">
        <v>0</v>
      </c>
      <c r="H299" s="92">
        <f t="shared" ref="H299:H304" si="0">SUM(F299:G299)</f>
        <v>13147.744749704807</v>
      </c>
      <c r="I299" s="99" t="s">
        <v>229</v>
      </c>
      <c r="J299" s="76">
        <f>J298/12</f>
        <v>8.9049999999999994</v>
      </c>
      <c r="K299" s="9" t="s">
        <v>39</v>
      </c>
      <c r="L299" s="98"/>
      <c r="N299" s="99" t="s">
        <v>123</v>
      </c>
      <c r="O299" s="9">
        <f>O298/12</f>
        <v>0</v>
      </c>
      <c r="P299" s="9" t="s">
        <v>39</v>
      </c>
      <c r="Q299" s="98"/>
      <c r="R299" s="99" t="s">
        <v>122</v>
      </c>
      <c r="S299" s="9">
        <f>S298/12</f>
        <v>0</v>
      </c>
      <c r="T299" s="9" t="s">
        <v>39</v>
      </c>
      <c r="U299" s="98"/>
      <c r="V299" s="88"/>
      <c r="W299" s="88"/>
      <c r="X299" s="88"/>
      <c r="Y299" s="88"/>
      <c r="Z299" s="88"/>
      <c r="AA299" s="88"/>
      <c r="AB299" s="88"/>
    </row>
    <row r="300" spans="1:70" ht="43.2" x14ac:dyDescent="0.3">
      <c r="B300">
        <v>514</v>
      </c>
      <c r="C300" s="87" t="s">
        <v>121</v>
      </c>
      <c r="D300" s="71" t="s">
        <v>120</v>
      </c>
      <c r="E300" t="s">
        <v>3</v>
      </c>
      <c r="F300" s="83">
        <f>N335</f>
        <v>13147.744749704807</v>
      </c>
      <c r="G300" s="53">
        <v>0</v>
      </c>
      <c r="H300" s="92">
        <f t="shared" si="0"/>
        <v>13147.744749704807</v>
      </c>
      <c r="AD300" s="43"/>
      <c r="AE300" s="97" t="s">
        <v>362</v>
      </c>
      <c r="AF300" s="42"/>
      <c r="AG300" s="42"/>
      <c r="AH300" s="42"/>
      <c r="AI300" s="42"/>
      <c r="AJ300" s="42"/>
      <c r="AK300" s="41"/>
      <c r="AM300" s="96" t="s">
        <v>363</v>
      </c>
      <c r="AN300" s="42"/>
      <c r="AO300" s="42"/>
      <c r="AP300" s="42"/>
      <c r="AQ300" s="42"/>
      <c r="AR300" s="42"/>
      <c r="AS300" s="42"/>
      <c r="AT300" s="42"/>
      <c r="AU300" s="42"/>
      <c r="AV300" s="41"/>
      <c r="AX300" s="96" t="s">
        <v>117</v>
      </c>
      <c r="AY300" s="42"/>
      <c r="AZ300" s="42"/>
      <c r="BA300" s="42"/>
      <c r="BB300" s="42"/>
      <c r="BC300" s="42"/>
      <c r="BD300" s="42"/>
      <c r="BE300" s="42"/>
      <c r="BF300" s="42"/>
      <c r="BG300" s="41"/>
      <c r="BI300" s="95" t="s">
        <v>117</v>
      </c>
      <c r="BJ300" s="39"/>
      <c r="BK300" s="39"/>
      <c r="BL300" s="39"/>
      <c r="BM300" s="39"/>
      <c r="BN300" s="39"/>
      <c r="BO300" s="39"/>
      <c r="BP300" s="39"/>
      <c r="BQ300" s="39"/>
      <c r="BR300" s="38"/>
    </row>
    <row r="301" spans="1:70" ht="57.6" x14ac:dyDescent="0.3">
      <c r="B301">
        <v>514</v>
      </c>
      <c r="C301" s="87" t="s">
        <v>116</v>
      </c>
      <c r="D301" s="71" t="s">
        <v>115</v>
      </c>
      <c r="E301" t="s">
        <v>3</v>
      </c>
      <c r="F301" s="83">
        <f>N335</f>
        <v>13147.744749704807</v>
      </c>
      <c r="G301" s="53">
        <v>0</v>
      </c>
      <c r="H301" s="92">
        <f t="shared" si="0"/>
        <v>13147.744749704807</v>
      </c>
      <c r="I301" s="9" t="s">
        <v>40</v>
      </c>
      <c r="J301" s="76">
        <f>AVERAGE(229.15,235.21)</f>
        <v>232.18</v>
      </c>
      <c r="K301" s="9" t="s">
        <v>39</v>
      </c>
      <c r="L301" s="9" t="s">
        <v>40</v>
      </c>
      <c r="M301" s="9"/>
      <c r="N301" s="9" t="s">
        <v>39</v>
      </c>
      <c r="O301" s="9" t="s">
        <v>40</v>
      </c>
      <c r="P301" s="9"/>
      <c r="Q301" s="9" t="s">
        <v>39</v>
      </c>
      <c r="R301" s="9" t="s">
        <v>39</v>
      </c>
      <c r="S301" s="9" t="s">
        <v>40</v>
      </c>
      <c r="T301" s="9"/>
      <c r="U301" s="9" t="s">
        <v>39</v>
      </c>
      <c r="V301" s="9" t="s">
        <v>40</v>
      </c>
      <c r="W301" s="9"/>
      <c r="X301" s="9" t="s">
        <v>39</v>
      </c>
      <c r="Y301" s="9" t="s">
        <v>40</v>
      </c>
      <c r="Z301" s="9"/>
      <c r="AA301" s="9" t="s">
        <v>39</v>
      </c>
      <c r="AD301" s="37"/>
      <c r="AF301" t="s">
        <v>69</v>
      </c>
      <c r="AH301" t="s">
        <v>220</v>
      </c>
      <c r="AJ301" s="94">
        <v>6.1</v>
      </c>
      <c r="AK301" s="53" t="s">
        <v>113</v>
      </c>
      <c r="AM301" s="37"/>
      <c r="AR301" t="s">
        <v>221</v>
      </c>
      <c r="AT301" s="94">
        <v>8.1999999999999993</v>
      </c>
      <c r="AU301" s="53" t="s">
        <v>113</v>
      </c>
      <c r="AV301" s="36"/>
      <c r="AX301" s="37"/>
      <c r="BC301" t="s">
        <v>221</v>
      </c>
      <c r="BE301" s="94">
        <v>8.1999999999999993</v>
      </c>
      <c r="BF301" s="53" t="s">
        <v>113</v>
      </c>
      <c r="BG301" s="36"/>
      <c r="BI301" s="21"/>
      <c r="BJ301" s="19"/>
      <c r="BK301" s="19"/>
      <c r="BL301" s="19"/>
      <c r="BM301" s="19"/>
      <c r="BN301" s="19" t="s">
        <v>114</v>
      </c>
      <c r="BO301" s="19"/>
      <c r="BP301" s="93">
        <v>8.1999999999999993</v>
      </c>
      <c r="BQ301" s="46" t="s">
        <v>113</v>
      </c>
      <c r="BR301" s="18"/>
    </row>
    <row r="302" spans="1:70" ht="43.2" x14ac:dyDescent="0.3">
      <c r="B302">
        <v>514</v>
      </c>
      <c r="C302" s="87" t="s">
        <v>112</v>
      </c>
      <c r="D302" s="71" t="s">
        <v>111</v>
      </c>
      <c r="E302" t="s">
        <v>3</v>
      </c>
      <c r="F302" s="83">
        <f>N335</f>
        <v>13147.744749704807</v>
      </c>
      <c r="G302" s="53">
        <v>0</v>
      </c>
      <c r="H302" s="92">
        <f t="shared" si="0"/>
        <v>13147.744749704807</v>
      </c>
      <c r="I302" s="91" t="s">
        <v>58</v>
      </c>
      <c r="J302" s="90" t="s">
        <v>110</v>
      </c>
      <c r="K302" s="91"/>
      <c r="L302" s="91" t="s">
        <v>58</v>
      </c>
      <c r="M302" s="90" t="s">
        <v>109</v>
      </c>
      <c r="N302" s="91"/>
      <c r="O302" s="91" t="s">
        <v>58</v>
      </c>
      <c r="P302" s="90"/>
      <c r="Q302" s="91"/>
      <c r="R302" s="89"/>
      <c r="S302" s="91" t="s">
        <v>58</v>
      </c>
      <c r="T302" s="90"/>
      <c r="U302" s="91"/>
      <c r="V302" s="91" t="s">
        <v>58</v>
      </c>
      <c r="W302" s="90"/>
      <c r="X302" s="89"/>
      <c r="Y302" s="91" t="s">
        <v>58</v>
      </c>
      <c r="Z302" s="90"/>
      <c r="AA302" s="89"/>
      <c r="AB302" s="88"/>
      <c r="AD302" s="37"/>
      <c r="AI302" s="79"/>
      <c r="AK302" s="36"/>
      <c r="AM302" s="37"/>
      <c r="AQ302" s="53"/>
      <c r="AR302" s="53"/>
      <c r="AS302" s="53"/>
      <c r="AV302" s="36"/>
      <c r="AX302" s="37"/>
      <c r="BB302" s="53"/>
      <c r="BC302" s="53"/>
      <c r="BD302" s="53"/>
      <c r="BG302" s="36"/>
      <c r="BI302" s="21"/>
      <c r="BJ302" s="19"/>
      <c r="BK302" s="19"/>
      <c r="BL302" s="19"/>
      <c r="BM302" s="46"/>
      <c r="BN302" s="46"/>
      <c r="BO302" s="46"/>
      <c r="BP302" s="19"/>
      <c r="BQ302" s="19"/>
      <c r="BR302" s="18"/>
    </row>
    <row r="303" spans="1:70" ht="43.2" x14ac:dyDescent="0.3">
      <c r="B303">
        <v>514</v>
      </c>
      <c r="C303" s="87" t="s">
        <v>108</v>
      </c>
      <c r="D303" s="25" t="s">
        <v>107</v>
      </c>
      <c r="E303" t="s">
        <v>106</v>
      </c>
      <c r="F303" s="53">
        <f>ROUNDUP(K305*K307/60,0)</f>
        <v>16</v>
      </c>
      <c r="G303" s="53">
        <v>0</v>
      </c>
      <c r="H303" s="86">
        <f t="shared" si="0"/>
        <v>16</v>
      </c>
      <c r="I303" s="9" t="s">
        <v>38</v>
      </c>
      <c r="J303" s="9">
        <f>J301*J299</f>
        <v>2067.5628999999999</v>
      </c>
      <c r="K303" s="9" t="s">
        <v>37</v>
      </c>
      <c r="L303" s="9" t="s">
        <v>38</v>
      </c>
      <c r="M303" s="9">
        <f>M301*J299</f>
        <v>0</v>
      </c>
      <c r="N303" s="9" t="s">
        <v>37</v>
      </c>
      <c r="O303" s="9" t="s">
        <v>38</v>
      </c>
      <c r="P303" s="9">
        <f>P301*J299</f>
        <v>0</v>
      </c>
      <c r="Q303" s="9" t="s">
        <v>37</v>
      </c>
      <c r="R303" s="9" t="s">
        <v>37</v>
      </c>
      <c r="S303" s="9" t="s">
        <v>38</v>
      </c>
      <c r="T303" s="9">
        <f>T301*J299</f>
        <v>0</v>
      </c>
      <c r="U303" s="9" t="s">
        <v>37</v>
      </c>
      <c r="V303" s="9" t="s">
        <v>38</v>
      </c>
      <c r="W303" s="9">
        <f>W301*S299</f>
        <v>0</v>
      </c>
      <c r="X303" s="9" t="s">
        <v>37</v>
      </c>
      <c r="Y303" s="9" t="s">
        <v>38</v>
      </c>
      <c r="Z303" s="9">
        <f>Z301*S299</f>
        <v>0</v>
      </c>
      <c r="AA303" s="9" t="s">
        <v>37</v>
      </c>
      <c r="AD303" s="37"/>
      <c r="AE303" t="s">
        <v>68</v>
      </c>
      <c r="AF303" s="85">
        <v>8.8332999999999995</v>
      </c>
      <c r="AG303" s="59" t="s">
        <v>39</v>
      </c>
      <c r="AH303" s="59"/>
      <c r="AK303" s="36"/>
      <c r="AM303" s="186" t="s">
        <v>105</v>
      </c>
      <c r="AN303" s="187"/>
      <c r="AO303" s="187"/>
      <c r="AP303" s="187"/>
      <c r="AQ303" s="187"/>
      <c r="AR303" s="187"/>
      <c r="AS303" s="187"/>
      <c r="AV303" s="36"/>
      <c r="AX303" s="186" t="s">
        <v>104</v>
      </c>
      <c r="AY303" s="187"/>
      <c r="AZ303" s="187"/>
      <c r="BA303" s="187"/>
      <c r="BB303" s="187"/>
      <c r="BC303" s="187"/>
      <c r="BD303" s="187"/>
      <c r="BG303" s="36"/>
      <c r="BI303" s="190" t="s">
        <v>103</v>
      </c>
      <c r="BJ303" s="191"/>
      <c r="BK303" s="191"/>
      <c r="BL303" s="191"/>
      <c r="BM303" s="191"/>
      <c r="BN303" s="191"/>
      <c r="BO303" s="191"/>
      <c r="BP303" s="19"/>
      <c r="BQ303" s="19"/>
      <c r="BR303" s="18"/>
    </row>
    <row r="304" spans="1:70" ht="29.4" x14ac:dyDescent="0.35">
      <c r="B304">
        <v>514</v>
      </c>
      <c r="C304" s="84">
        <v>10000</v>
      </c>
      <c r="D304" s="25" t="s">
        <v>102</v>
      </c>
      <c r="E304" t="s">
        <v>0</v>
      </c>
      <c r="F304" s="83">
        <f>ROUNDUP(MAX(F299/2400,(K305*K307/300)),0)</f>
        <v>6</v>
      </c>
      <c r="G304" s="82">
        <f>ROUNDUP(G299/2400,0)</f>
        <v>0</v>
      </c>
      <c r="H304" s="81">
        <f t="shared" si="0"/>
        <v>6</v>
      </c>
      <c r="I304" s="9" t="s">
        <v>54</v>
      </c>
      <c r="J304" s="33">
        <f>J303*1.1</f>
        <v>2274.3191900000002</v>
      </c>
      <c r="K304" s="9" t="s">
        <v>37</v>
      </c>
      <c r="L304" s="9" t="s">
        <v>54</v>
      </c>
      <c r="M304" s="33">
        <f>M303*1.1</f>
        <v>0</v>
      </c>
      <c r="N304" s="9" t="s">
        <v>37</v>
      </c>
      <c r="O304" s="9" t="s">
        <v>54</v>
      </c>
      <c r="P304" s="33">
        <f>P303*1.1</f>
        <v>0</v>
      </c>
      <c r="Q304" s="9" t="s">
        <v>37</v>
      </c>
      <c r="R304" s="9" t="s">
        <v>37</v>
      </c>
      <c r="S304" s="9" t="s">
        <v>54</v>
      </c>
      <c r="T304" s="33">
        <f>T303*1.1</f>
        <v>0</v>
      </c>
      <c r="U304" s="9" t="s">
        <v>37</v>
      </c>
      <c r="V304" s="9" t="s">
        <v>54</v>
      </c>
      <c r="W304" s="33">
        <f>W303*1.1</f>
        <v>0</v>
      </c>
      <c r="X304" s="9" t="s">
        <v>37</v>
      </c>
      <c r="Y304" s="9" t="s">
        <v>54</v>
      </c>
      <c r="Z304" s="33">
        <f>Z303*1.1</f>
        <v>0</v>
      </c>
      <c r="AA304" s="9" t="s">
        <v>37</v>
      </c>
      <c r="AD304" s="37" t="s">
        <v>361</v>
      </c>
      <c r="AE304" s="53" t="s">
        <v>97</v>
      </c>
      <c r="AF304" s="80">
        <v>36</v>
      </c>
      <c r="AG304" t="s">
        <v>64</v>
      </c>
      <c r="AI304" s="79" t="s">
        <v>65</v>
      </c>
      <c r="AJ304" s="80">
        <v>0</v>
      </c>
      <c r="AK304" s="36" t="s">
        <v>64</v>
      </c>
      <c r="AM304" s="54"/>
      <c r="AN304" s="53"/>
      <c r="AO304" s="53" t="s">
        <v>69</v>
      </c>
      <c r="AP304" s="53" t="s">
        <v>101</v>
      </c>
      <c r="AQ304" s="53" t="s">
        <v>100</v>
      </c>
      <c r="AR304" s="53"/>
      <c r="AS304" s="53"/>
      <c r="AT304" s="79" t="s">
        <v>65</v>
      </c>
      <c r="AU304" s="80">
        <v>0</v>
      </c>
      <c r="AV304" s="36" t="s">
        <v>64</v>
      </c>
      <c r="AX304" s="54"/>
      <c r="AY304" s="53"/>
      <c r="AZ304" s="53" t="s">
        <v>69</v>
      </c>
      <c r="BA304" s="53" t="s">
        <v>101</v>
      </c>
      <c r="BB304" s="53" t="s">
        <v>100</v>
      </c>
      <c r="BC304" s="53"/>
      <c r="BD304" s="53"/>
      <c r="BE304" s="79" t="s">
        <v>65</v>
      </c>
      <c r="BF304">
        <v>0</v>
      </c>
      <c r="BG304" s="36" t="s">
        <v>64</v>
      </c>
      <c r="BI304" s="52"/>
      <c r="BJ304" s="46"/>
      <c r="BK304" s="46" t="s">
        <v>69</v>
      </c>
      <c r="BL304" s="46" t="s">
        <v>101</v>
      </c>
      <c r="BM304" s="46" t="s">
        <v>100</v>
      </c>
      <c r="BN304" s="46"/>
      <c r="BO304" s="46"/>
      <c r="BP304" s="45" t="s">
        <v>65</v>
      </c>
      <c r="BQ304" s="19">
        <v>2</v>
      </c>
      <c r="BR304" s="18" t="s">
        <v>64</v>
      </c>
    </row>
    <row r="305" spans="6:70" x14ac:dyDescent="0.3">
      <c r="I305" s="32" t="s">
        <v>99</v>
      </c>
      <c r="J305" s="12"/>
      <c r="K305" s="9">
        <f>1*J301+1*M301+1*P301+1*T301+1*W301+1*Z301</f>
        <v>232.18</v>
      </c>
      <c r="L305" s="9" t="s">
        <v>39</v>
      </c>
      <c r="AD305" s="37"/>
      <c r="AF305">
        <f>AF304/12</f>
        <v>3</v>
      </c>
      <c r="AG305" t="s">
        <v>39</v>
      </c>
      <c r="AI305" s="79"/>
      <c r="AK305" s="36"/>
      <c r="AM305" s="54"/>
      <c r="AN305" s="53" t="s">
        <v>68</v>
      </c>
      <c r="AO305" s="77">
        <v>11.37</v>
      </c>
      <c r="AP305" s="53">
        <f>AO305/3</f>
        <v>3.7899999999999996</v>
      </c>
      <c r="AQ305" s="53">
        <f>AO305/6</f>
        <v>1.8949999999999998</v>
      </c>
      <c r="AR305" s="53"/>
      <c r="AS305" s="53"/>
      <c r="AT305" t="s">
        <v>64</v>
      </c>
      <c r="AV305" s="36"/>
      <c r="AX305" s="54"/>
      <c r="AY305" s="53" t="s">
        <v>68</v>
      </c>
      <c r="AZ305" s="53">
        <v>14.568</v>
      </c>
      <c r="BA305" s="53">
        <f>AZ305/3</f>
        <v>4.8559999999999999</v>
      </c>
      <c r="BB305" s="53">
        <f>AZ305/6</f>
        <v>2.4279999999999999</v>
      </c>
      <c r="BC305" s="53"/>
      <c r="BD305" s="53"/>
      <c r="BE305" t="s">
        <v>64</v>
      </c>
      <c r="BG305" s="36"/>
      <c r="BI305" s="52"/>
      <c r="BJ305" s="46" t="s">
        <v>68</v>
      </c>
      <c r="BK305" s="46">
        <v>0</v>
      </c>
      <c r="BL305" s="46">
        <f>BK305/3</f>
        <v>0</v>
      </c>
      <c r="BM305" s="46">
        <f>BK305/6</f>
        <v>0</v>
      </c>
      <c r="BN305" s="46"/>
      <c r="BO305" s="46"/>
      <c r="BP305" s="19" t="s">
        <v>64</v>
      </c>
      <c r="BQ305" s="19"/>
      <c r="BR305" s="18"/>
    </row>
    <row r="306" spans="6:70" x14ac:dyDescent="0.3">
      <c r="I306" s="32" t="s">
        <v>98</v>
      </c>
      <c r="J306" s="11"/>
      <c r="K306" s="78">
        <f>J304+M304+P304+T304+W304+Z304</f>
        <v>2274.3191900000002</v>
      </c>
      <c r="L306" s="9" t="s">
        <v>37</v>
      </c>
      <c r="AD306" s="37"/>
      <c r="AK306" s="36"/>
      <c r="AM306" s="37" t="s">
        <v>361</v>
      </c>
      <c r="AN306" s="53" t="s">
        <v>97</v>
      </c>
      <c r="AO306" s="77">
        <v>36</v>
      </c>
      <c r="AP306" s="73" t="s">
        <v>64</v>
      </c>
      <c r="AQ306" s="53"/>
      <c r="AR306" s="53"/>
      <c r="AS306" s="53"/>
      <c r="AT306" t="s">
        <v>64</v>
      </c>
      <c r="AV306" s="36"/>
      <c r="AX306" s="54"/>
      <c r="AY306" s="53" t="s">
        <v>97</v>
      </c>
      <c r="AZ306" s="53">
        <v>36</v>
      </c>
      <c r="BA306" s="73" t="s">
        <v>64</v>
      </c>
      <c r="BB306" s="53"/>
      <c r="BC306" s="53"/>
      <c r="BD306" s="53"/>
      <c r="BE306" t="s">
        <v>64</v>
      </c>
      <c r="BG306" s="36"/>
      <c r="BI306" s="52"/>
      <c r="BJ306" s="46" t="s">
        <v>97</v>
      </c>
      <c r="BK306" s="46">
        <v>0</v>
      </c>
      <c r="BL306" s="72" t="s">
        <v>64</v>
      </c>
      <c r="BM306" s="46"/>
      <c r="BN306" s="46"/>
      <c r="BO306" s="46"/>
      <c r="BP306" s="19" t="s">
        <v>64</v>
      </c>
      <c r="BQ306" s="19"/>
      <c r="BR306" s="18"/>
    </row>
    <row r="307" spans="6:70" x14ac:dyDescent="0.3">
      <c r="I307" s="32" t="s">
        <v>96</v>
      </c>
      <c r="J307" s="11"/>
      <c r="K307" s="76">
        <v>4</v>
      </c>
      <c r="L307" s="9"/>
      <c r="AD307" s="37"/>
      <c r="AK307" s="36"/>
      <c r="AM307" s="54"/>
      <c r="AN307" s="53"/>
      <c r="AO307" s="53">
        <f>AO306/12</f>
        <v>3</v>
      </c>
      <c r="AP307" s="73" t="s">
        <v>39</v>
      </c>
      <c r="AQ307" s="65">
        <f>AN311^2+AN314^2</f>
        <v>22.395655999999995</v>
      </c>
      <c r="AR307" s="53"/>
      <c r="AS307" s="65">
        <f>AN311^2+AO314^2</f>
        <v>11.622581</v>
      </c>
      <c r="AT307" t="s">
        <v>64</v>
      </c>
      <c r="AV307" s="36"/>
      <c r="AX307" s="54"/>
      <c r="AY307" s="53"/>
      <c r="AZ307" s="53">
        <f>AZ306/12</f>
        <v>3</v>
      </c>
      <c r="BA307" s="73" t="s">
        <v>39</v>
      </c>
      <c r="BB307" s="65">
        <f>AY311^2+AY314^2</f>
        <v>31.612291999999997</v>
      </c>
      <c r="BC307" s="53"/>
      <c r="BD307" s="65">
        <f>AY311^2+AZ314^2</f>
        <v>13.926739999999999</v>
      </c>
      <c r="BE307" t="s">
        <v>64</v>
      </c>
      <c r="BG307" s="36"/>
      <c r="BI307" s="52"/>
      <c r="BJ307" s="46"/>
      <c r="BK307" s="46">
        <f>BK306/12</f>
        <v>0</v>
      </c>
      <c r="BL307" s="72" t="s">
        <v>39</v>
      </c>
      <c r="BM307" s="46">
        <f>BJ311^2+BJ314^2</f>
        <v>0</v>
      </c>
      <c r="BN307" s="46"/>
      <c r="BO307" s="64">
        <f>BJ311^2+BK314^2</f>
        <v>0</v>
      </c>
      <c r="BP307" s="19" t="s">
        <v>64</v>
      </c>
      <c r="BQ307" s="19"/>
      <c r="BR307" s="18"/>
    </row>
    <row r="308" spans="6:70" ht="43.2" x14ac:dyDescent="0.3">
      <c r="F308">
        <f>0.75+227.65+0.75</f>
        <v>229.15</v>
      </c>
      <c r="I308" s="74" t="s">
        <v>95</v>
      </c>
      <c r="J308" s="11"/>
      <c r="K308" s="75">
        <f>K306*K307</f>
        <v>9097.2767600000006</v>
      </c>
      <c r="L308" s="9" t="s">
        <v>37</v>
      </c>
      <c r="N308" s="74" t="s">
        <v>365</v>
      </c>
      <c r="O308" s="30">
        <f>20*(18*(24*4))/144</f>
        <v>240</v>
      </c>
      <c r="P308" s="11" t="s">
        <v>44</v>
      </c>
      <c r="AD308" s="37"/>
      <c r="AG308">
        <f>SQRT((AG313)^2+(AE309)^2)</f>
        <v>9.2766019883360311</v>
      </c>
      <c r="AH308" t="s">
        <v>6</v>
      </c>
      <c r="AK308" s="36"/>
      <c r="AM308" s="54"/>
      <c r="AN308" s="53"/>
      <c r="AO308" s="53"/>
      <c r="AP308" s="73"/>
      <c r="AQ308" s="53"/>
      <c r="AR308" s="53"/>
      <c r="AS308" s="53"/>
      <c r="AV308" s="36"/>
      <c r="AX308" s="54"/>
      <c r="AY308" s="53"/>
      <c r="AZ308" s="53"/>
      <c r="BA308" s="73"/>
      <c r="BB308" s="53"/>
      <c r="BC308" s="53"/>
      <c r="BD308" s="53"/>
      <c r="BG308" s="36"/>
      <c r="BI308" s="52"/>
      <c r="BJ308" s="46"/>
      <c r="BK308" s="46"/>
      <c r="BL308" s="72"/>
      <c r="BM308" s="46"/>
      <c r="BN308" s="46"/>
      <c r="BO308" s="46"/>
      <c r="BP308" s="19"/>
      <c r="BQ308" s="19"/>
      <c r="BR308" s="18"/>
    </row>
    <row r="309" spans="6:70" x14ac:dyDescent="0.3">
      <c r="F309">
        <f>0.75+233.71+0.75</f>
        <v>235.21</v>
      </c>
      <c r="I309" s="71"/>
      <c r="AD309" s="37"/>
      <c r="AE309">
        <f>AF305-2*(AJ304/12+0.0833)</f>
        <v>2.8334000000000001</v>
      </c>
      <c r="AF309" t="s">
        <v>6</v>
      </c>
      <c r="AK309" s="36"/>
      <c r="AM309" s="54"/>
      <c r="AN309" s="53"/>
      <c r="AO309" s="53"/>
      <c r="AP309" s="53"/>
      <c r="AQ309" s="53"/>
      <c r="AR309" s="53"/>
      <c r="AS309" s="53"/>
      <c r="AU309">
        <v>1.1659999999999999</v>
      </c>
      <c r="AV309" s="36" t="s">
        <v>48</v>
      </c>
      <c r="AX309" s="54"/>
      <c r="AY309" s="53"/>
      <c r="AZ309" s="53"/>
      <c r="BA309" s="53"/>
      <c r="BB309" s="53"/>
      <c r="BC309" s="53"/>
      <c r="BD309" s="53"/>
      <c r="BF309">
        <v>1.1659999999999999</v>
      </c>
      <c r="BG309" s="36" t="s">
        <v>48</v>
      </c>
      <c r="BI309" s="52"/>
      <c r="BJ309" s="46"/>
      <c r="BK309" s="46"/>
      <c r="BL309" s="46"/>
      <c r="BM309" s="46"/>
      <c r="BN309" s="46"/>
      <c r="BO309" s="46"/>
      <c r="BP309" s="19"/>
      <c r="BQ309" s="19">
        <v>1.1659999999999999</v>
      </c>
      <c r="BR309" s="18" t="s">
        <v>48</v>
      </c>
    </row>
    <row r="310" spans="6:70" x14ac:dyDescent="0.3">
      <c r="I310" s="43" t="s">
        <v>94</v>
      </c>
      <c r="J310" s="42"/>
      <c r="K310" s="42">
        <f>(6+6)*60/144</f>
        <v>5</v>
      </c>
      <c r="L310" s="41" t="s">
        <v>44</v>
      </c>
      <c r="M310" s="43" t="s">
        <v>93</v>
      </c>
      <c r="N310" s="42"/>
      <c r="O310" s="42"/>
      <c r="P310" s="41"/>
      <c r="Q310" s="43" t="s">
        <v>92</v>
      </c>
      <c r="R310" s="42"/>
      <c r="S310" s="42"/>
      <c r="T310" s="41"/>
      <c r="AD310" s="37"/>
      <c r="AE310">
        <f>AE309*12</f>
        <v>34.000799999999998</v>
      </c>
      <c r="AK310" s="36"/>
      <c r="AM310" s="54"/>
      <c r="AN310" s="53"/>
      <c r="AO310" s="65">
        <f>SQRT(AS307)</f>
        <v>3.4091906664192311</v>
      </c>
      <c r="AP310" s="65"/>
      <c r="AQ310" s="53"/>
      <c r="AR310" s="65">
        <f>AM311</f>
        <v>4.7324048854678518</v>
      </c>
      <c r="AS310" s="53"/>
      <c r="AU310" s="8">
        <f>0.33*AU309*2</f>
        <v>0.76956000000000002</v>
      </c>
      <c r="AV310" s="36" t="s">
        <v>44</v>
      </c>
      <c r="AX310" s="54"/>
      <c r="AY310" s="53"/>
      <c r="AZ310" s="65">
        <f>SQRT(BD307)</f>
        <v>3.7318547667346325</v>
      </c>
      <c r="BA310" s="65"/>
      <c r="BB310" s="53"/>
      <c r="BC310" s="65">
        <f>AX311</f>
        <v>5.6224809470553119</v>
      </c>
      <c r="BD310" s="53"/>
      <c r="BF310" s="8">
        <f>0.33*BF309*2</f>
        <v>0.76956000000000002</v>
      </c>
      <c r="BG310" s="36" t="s">
        <v>44</v>
      </c>
      <c r="BI310" s="52"/>
      <c r="BJ310" s="46"/>
      <c r="BK310" s="64">
        <f>SQRT(BO307)</f>
        <v>0</v>
      </c>
      <c r="BL310" s="64"/>
      <c r="BM310" s="46"/>
      <c r="BN310" s="64">
        <f>BI311</f>
        <v>0</v>
      </c>
      <c r="BO310" s="46"/>
      <c r="BP310" s="19"/>
      <c r="BQ310" s="22">
        <f>0.33*BQ309*2</f>
        <v>0.76956000000000002</v>
      </c>
      <c r="BR310" s="18" t="s">
        <v>44</v>
      </c>
    </row>
    <row r="311" spans="6:70" x14ac:dyDescent="0.3">
      <c r="I311" s="37" t="s">
        <v>87</v>
      </c>
      <c r="K311">
        <v>0</v>
      </c>
      <c r="L311" s="36" t="s">
        <v>85</v>
      </c>
      <c r="M311" s="37" t="s">
        <v>91</v>
      </c>
      <c r="O311">
        <f>((5+5)*(56+90)/2)/144</f>
        <v>5.0694444444444446</v>
      </c>
      <c r="P311" s="36" t="s">
        <v>44</v>
      </c>
      <c r="Q311" s="37" t="s">
        <v>91</v>
      </c>
      <c r="S311">
        <f>((5+5)*(55)/144)</f>
        <v>3.8194444444444446</v>
      </c>
      <c r="T311" s="36" t="s">
        <v>44</v>
      </c>
      <c r="AD311" s="37"/>
      <c r="AK311" s="36"/>
      <c r="AM311" s="70">
        <f>SQRT(AQ307)</f>
        <v>4.7324048854678518</v>
      </c>
      <c r="AN311" s="69">
        <f>AO307-2*(AU304/12+0.083)</f>
        <v>2.8340000000000001</v>
      </c>
      <c r="AO311" s="53"/>
      <c r="AP311" s="53"/>
      <c r="AQ311" s="53"/>
      <c r="AR311" s="53"/>
      <c r="AS311" s="53"/>
      <c r="AU311">
        <v>7</v>
      </c>
      <c r="AV311" s="36" t="s">
        <v>48</v>
      </c>
      <c r="AX311" s="70">
        <f>SQRT(BB307)</f>
        <v>5.6224809470553119</v>
      </c>
      <c r="AY311" s="69">
        <f>AZ307-2*(BF304/12+0.083)</f>
        <v>2.8340000000000001</v>
      </c>
      <c r="AZ311" s="53"/>
      <c r="BA311" s="53"/>
      <c r="BB311" s="53"/>
      <c r="BC311" s="53"/>
      <c r="BD311" s="53"/>
      <c r="BF311">
        <v>7</v>
      </c>
      <c r="BG311" s="36" t="s">
        <v>48</v>
      </c>
      <c r="BI311" s="68">
        <f>SQRT(BM307)</f>
        <v>0</v>
      </c>
      <c r="BJ311" s="67">
        <f>BK307</f>
        <v>0</v>
      </c>
      <c r="BK311" s="46"/>
      <c r="BL311" s="46"/>
      <c r="BM311" s="46"/>
      <c r="BN311" s="46"/>
      <c r="BO311" s="46"/>
      <c r="BP311" s="19"/>
      <c r="BQ311" s="19">
        <v>7</v>
      </c>
      <c r="BR311" s="18" t="s">
        <v>48</v>
      </c>
    </row>
    <row r="312" spans="6:70" x14ac:dyDescent="0.3">
      <c r="I312" s="37" t="s">
        <v>80</v>
      </c>
      <c r="K312" s="3">
        <f>K310*K311</f>
        <v>0</v>
      </c>
      <c r="L312" s="36" t="s">
        <v>44</v>
      </c>
      <c r="M312" s="37" t="s">
        <v>87</v>
      </c>
      <c r="O312">
        <v>0</v>
      </c>
      <c r="P312" s="36" t="s">
        <v>85</v>
      </c>
      <c r="Q312" s="37" t="s">
        <v>87</v>
      </c>
      <c r="S312">
        <v>0</v>
      </c>
      <c r="T312" s="36" t="s">
        <v>85</v>
      </c>
      <c r="AD312" s="37"/>
      <c r="AK312" s="36"/>
      <c r="AM312" s="54"/>
      <c r="AN312" s="53"/>
      <c r="AO312" s="53"/>
      <c r="AP312" s="53"/>
      <c r="AQ312" s="53"/>
      <c r="AR312" s="53"/>
      <c r="AS312" s="53"/>
      <c r="AU312" s="8">
        <f>0.33*AU311*2</f>
        <v>4.62</v>
      </c>
      <c r="AV312" s="36" t="s">
        <v>44</v>
      </c>
      <c r="AX312" s="54"/>
      <c r="AY312" s="53"/>
      <c r="AZ312" s="53"/>
      <c r="BA312" s="53"/>
      <c r="BB312" s="53"/>
      <c r="BC312" s="53"/>
      <c r="BD312" s="53"/>
      <c r="BF312" s="8">
        <f>0.33*BF311*2</f>
        <v>4.62</v>
      </c>
      <c r="BG312" s="36" t="s">
        <v>44</v>
      </c>
      <c r="BI312" s="52"/>
      <c r="BJ312" s="46"/>
      <c r="BK312" s="46"/>
      <c r="BL312" s="46"/>
      <c r="BM312" s="46"/>
      <c r="BN312" s="46"/>
      <c r="BO312" s="46"/>
      <c r="BP312" s="19"/>
      <c r="BQ312" s="22">
        <f>0.33*BQ311*2</f>
        <v>4.62</v>
      </c>
      <c r="BR312" s="18" t="s">
        <v>44</v>
      </c>
    </row>
    <row r="313" spans="6:70" x14ac:dyDescent="0.3">
      <c r="I313" s="35" t="s">
        <v>78</v>
      </c>
      <c r="J313" s="6"/>
      <c r="K313" s="6"/>
      <c r="L313" s="34"/>
      <c r="M313" s="35" t="s">
        <v>80</v>
      </c>
      <c r="N313" s="6"/>
      <c r="O313" s="66">
        <f>O311*O312</f>
        <v>0</v>
      </c>
      <c r="P313" s="34" t="s">
        <v>44</v>
      </c>
      <c r="Q313" s="35" t="s">
        <v>80</v>
      </c>
      <c r="R313" s="6"/>
      <c r="S313" s="66">
        <f>S311*S312</f>
        <v>0</v>
      </c>
      <c r="T313" s="34" t="s">
        <v>44</v>
      </c>
      <c r="AD313" s="37"/>
      <c r="AG313" s="59">
        <f>AF303</f>
        <v>8.8332999999999995</v>
      </c>
      <c r="AK313" s="36"/>
      <c r="AM313" s="54"/>
      <c r="AN313" s="53"/>
      <c r="AO313" s="53"/>
      <c r="AP313" s="53"/>
      <c r="AQ313" s="53"/>
      <c r="AR313" s="53"/>
      <c r="AS313" s="53"/>
      <c r="AV313" s="36"/>
      <c r="AX313" s="54"/>
      <c r="AY313" s="53"/>
      <c r="AZ313" s="53"/>
      <c r="BA313" s="53"/>
      <c r="BB313" s="53"/>
      <c r="BC313" s="53"/>
      <c r="BD313" s="53"/>
      <c r="BG313" s="36"/>
      <c r="BI313" s="52"/>
      <c r="BJ313" s="46"/>
      <c r="BK313" s="46"/>
      <c r="BL313" s="46"/>
      <c r="BM313" s="46"/>
      <c r="BN313" s="46"/>
      <c r="BO313" s="46"/>
      <c r="BP313" s="19"/>
      <c r="BQ313" s="19"/>
      <c r="BR313" s="18"/>
    </row>
    <row r="314" spans="6:70" x14ac:dyDescent="0.3">
      <c r="AD314" s="37"/>
      <c r="AK314" s="36"/>
      <c r="AM314" s="54"/>
      <c r="AN314" s="65">
        <f>AO305/3</f>
        <v>3.7899999999999996</v>
      </c>
      <c r="AO314" s="65">
        <f>AN314/2</f>
        <v>1.8949999999999998</v>
      </c>
      <c r="AP314" s="53"/>
      <c r="AQ314" s="53"/>
      <c r="AR314" s="53"/>
      <c r="AS314" s="53"/>
      <c r="AV314" s="36"/>
      <c r="AX314" s="54"/>
      <c r="AY314" s="65">
        <f>AZ305/3</f>
        <v>4.8559999999999999</v>
      </c>
      <c r="AZ314" s="65">
        <f>AY314/2</f>
        <v>2.4279999999999999</v>
      </c>
      <c r="BA314" s="53"/>
      <c r="BB314" s="53"/>
      <c r="BC314" s="53"/>
      <c r="BD314" s="53"/>
      <c r="BG314" s="36"/>
      <c r="BI314" s="52"/>
      <c r="BJ314" s="64">
        <f>BK305/3</f>
        <v>0</v>
      </c>
      <c r="BK314" s="64">
        <f>BJ314/2</f>
        <v>0</v>
      </c>
      <c r="BL314" s="46"/>
      <c r="BM314" s="46"/>
      <c r="BN314" s="46"/>
      <c r="BO314" s="46"/>
      <c r="BP314" s="19"/>
      <c r="BQ314" s="19"/>
      <c r="BR314" s="18"/>
    </row>
    <row r="315" spans="6:70" x14ac:dyDescent="0.3">
      <c r="I315" s="43" t="s">
        <v>90</v>
      </c>
      <c r="J315" s="42"/>
      <c r="K315" s="63">
        <f>(8+8)*60/144</f>
        <v>6.666666666666667</v>
      </c>
      <c r="L315" s="41" t="s">
        <v>44</v>
      </c>
      <c r="M315" s="43" t="s">
        <v>89</v>
      </c>
      <c r="N315" s="42"/>
      <c r="O315" s="42">
        <f>(8+8)*60/144</f>
        <v>6.666666666666667</v>
      </c>
      <c r="P315" s="41" t="s">
        <v>44</v>
      </c>
      <c r="Q315" s="43" t="s">
        <v>88</v>
      </c>
      <c r="R315" s="42"/>
      <c r="S315" s="42">
        <f>PI()*(0.67)*8</f>
        <v>16.838936623241292</v>
      </c>
      <c r="T315" s="41" t="s">
        <v>44</v>
      </c>
      <c r="AD315" s="37" t="s">
        <v>49</v>
      </c>
      <c r="AG315" s="59">
        <f>(1*AG313)+(2*AG308)</f>
        <v>27.38650397667206</v>
      </c>
      <c r="AH315" t="s">
        <v>48</v>
      </c>
      <c r="AK315" s="36"/>
      <c r="AM315" s="51"/>
      <c r="AN315" s="50"/>
      <c r="AO315" s="50"/>
      <c r="AP315" s="50"/>
      <c r="AQ315" s="50"/>
      <c r="AR315" s="50"/>
      <c r="AS315" s="50"/>
      <c r="AT315" s="6"/>
      <c r="AU315" s="6"/>
      <c r="AV315" s="34"/>
      <c r="AX315" s="51"/>
      <c r="AY315" s="50"/>
      <c r="AZ315" s="50"/>
      <c r="BA315" s="50"/>
      <c r="BB315" s="50"/>
      <c r="BC315" s="50"/>
      <c r="BD315" s="50"/>
      <c r="BE315" s="6"/>
      <c r="BF315" s="6"/>
      <c r="BG315" s="34"/>
      <c r="BI315" s="49"/>
      <c r="BJ315" s="48"/>
      <c r="BK315" s="48"/>
      <c r="BL315" s="48"/>
      <c r="BM315" s="48"/>
      <c r="BN315" s="48"/>
      <c r="BO315" s="48"/>
      <c r="BP315" s="16"/>
      <c r="BQ315" s="16"/>
      <c r="BR315" s="15"/>
    </row>
    <row r="316" spans="6:70" x14ac:dyDescent="0.3">
      <c r="I316" s="37" t="s">
        <v>87</v>
      </c>
      <c r="K316">
        <f>(2*6)*2</f>
        <v>24</v>
      </c>
      <c r="L316" s="36" t="s">
        <v>85</v>
      </c>
      <c r="M316" s="37" t="s">
        <v>87</v>
      </c>
      <c r="O316">
        <f>(4*6)*3</f>
        <v>72</v>
      </c>
      <c r="P316" s="36" t="s">
        <v>85</v>
      </c>
      <c r="Q316" s="37" t="s">
        <v>86</v>
      </c>
      <c r="S316">
        <f>15*4</f>
        <v>60</v>
      </c>
      <c r="T316" s="36" t="s">
        <v>85</v>
      </c>
      <c r="AD316" s="37"/>
      <c r="AK316" s="36"/>
      <c r="AM316" s="58"/>
      <c r="AN316" s="57"/>
      <c r="AO316" s="57" t="s">
        <v>82</v>
      </c>
      <c r="AP316" s="62" t="s">
        <v>84</v>
      </c>
      <c r="AQ316" s="57"/>
      <c r="AR316" s="57"/>
      <c r="AS316" s="57"/>
      <c r="AT316" s="42"/>
      <c r="AU316" s="42"/>
      <c r="AV316" s="41"/>
      <c r="AX316" s="58"/>
      <c r="AY316" s="57"/>
      <c r="AZ316" s="57" t="s">
        <v>82</v>
      </c>
      <c r="BA316" s="62" t="s">
        <v>83</v>
      </c>
      <c r="BB316" s="57"/>
      <c r="BC316" s="57"/>
      <c r="BD316" s="57"/>
      <c r="BE316" s="42"/>
      <c r="BF316" s="42"/>
      <c r="BG316" s="41"/>
      <c r="BI316" s="56"/>
      <c r="BJ316" s="55"/>
      <c r="BK316" s="55" t="s">
        <v>82</v>
      </c>
      <c r="BL316" s="61" t="s">
        <v>81</v>
      </c>
      <c r="BM316" s="55"/>
      <c r="BN316" s="55"/>
      <c r="BO316" s="55"/>
      <c r="BP316" s="39"/>
      <c r="BQ316" s="39"/>
      <c r="BR316" s="38"/>
    </row>
    <row r="317" spans="6:70" x14ac:dyDescent="0.3">
      <c r="I317" s="37" t="s">
        <v>80</v>
      </c>
      <c r="K317" s="3">
        <f>K315*K316</f>
        <v>160</v>
      </c>
      <c r="L317" s="36" t="s">
        <v>44</v>
      </c>
      <c r="M317" s="37" t="s">
        <v>80</v>
      </c>
      <c r="O317" s="3">
        <f>O315*O316</f>
        <v>480</v>
      </c>
      <c r="P317" s="36" t="s">
        <v>44</v>
      </c>
      <c r="Q317" s="37" t="s">
        <v>80</v>
      </c>
      <c r="S317" s="3">
        <f>S315*S316</f>
        <v>1010.3361973944775</v>
      </c>
      <c r="T317" s="36" t="s">
        <v>44</v>
      </c>
      <c r="AD317" s="60" t="s">
        <v>79</v>
      </c>
      <c r="AG317" s="8">
        <f>0.3333*4*AG315</f>
        <v>36.511687101699188</v>
      </c>
      <c r="AH317" t="s">
        <v>44</v>
      </c>
      <c r="AK317" s="36"/>
      <c r="AM317" s="51"/>
      <c r="AN317" s="50"/>
      <c r="AO317" s="50"/>
      <c r="AP317" s="50">
        <f>AO305+(2*AM311)+(2*AO310)</f>
        <v>27.653191103774166</v>
      </c>
      <c r="AQ317" s="50" t="s">
        <v>39</v>
      </c>
      <c r="AR317" s="50"/>
      <c r="AS317" s="50"/>
      <c r="AT317" s="6"/>
      <c r="AU317" s="6"/>
      <c r="AV317" s="34"/>
      <c r="AX317" s="51"/>
      <c r="AY317" s="50"/>
      <c r="AZ317" s="50"/>
      <c r="BA317" s="50">
        <f>AZ305+(2*AX311)+(2*AZ310)</f>
        <v>33.276671427579885</v>
      </c>
      <c r="BB317" s="50" t="s">
        <v>39</v>
      </c>
      <c r="BC317" s="50"/>
      <c r="BD317" s="50"/>
      <c r="BE317" s="6"/>
      <c r="BF317" s="6"/>
      <c r="BG317" s="34"/>
      <c r="BI317" s="49"/>
      <c r="BJ317" s="48"/>
      <c r="BK317" s="48"/>
      <c r="BL317" s="48">
        <f>BK305+(2*BI311)+(2*BK310)+BJ311</f>
        <v>0</v>
      </c>
      <c r="BM317" s="48" t="s">
        <v>39</v>
      </c>
      <c r="BN317" s="48"/>
      <c r="BO317" s="48"/>
      <c r="BP317" s="16"/>
      <c r="BQ317" s="16"/>
      <c r="BR317" s="15"/>
    </row>
    <row r="318" spans="6:70" x14ac:dyDescent="0.3">
      <c r="I318" s="35" t="s">
        <v>78</v>
      </c>
      <c r="J318" s="6"/>
      <c r="K318" s="6"/>
      <c r="L318" s="34"/>
      <c r="M318" s="35"/>
      <c r="N318" s="6"/>
      <c r="O318" s="6"/>
      <c r="P318" s="34"/>
      <c r="Q318" s="35"/>
      <c r="R318" s="6"/>
      <c r="S318" s="6"/>
      <c r="T318" s="34"/>
      <c r="AD318" s="37" t="s">
        <v>46</v>
      </c>
      <c r="AF318" t="s">
        <v>45</v>
      </c>
      <c r="AG318" s="59">
        <f>AG317*1.1</f>
        <v>40.162855811869107</v>
      </c>
      <c r="AH318" t="s">
        <v>44</v>
      </c>
      <c r="AK318" s="36"/>
      <c r="AM318" s="58"/>
      <c r="AN318" s="57"/>
      <c r="AO318" s="57"/>
      <c r="AP318" s="57"/>
      <c r="AQ318" s="57"/>
      <c r="AR318" s="57"/>
      <c r="AS318" s="57"/>
      <c r="AT318" s="42"/>
      <c r="AU318" s="42"/>
      <c r="AV318" s="41"/>
      <c r="AX318" s="58"/>
      <c r="AY318" s="57"/>
      <c r="AZ318" s="57"/>
      <c r="BA318" s="57"/>
      <c r="BB318" s="57"/>
      <c r="BC318" s="57"/>
      <c r="BD318" s="57"/>
      <c r="BE318" s="42"/>
      <c r="BF318" s="42"/>
      <c r="BG318" s="41"/>
      <c r="BI318" s="56"/>
      <c r="BJ318" s="55"/>
      <c r="BK318" s="55"/>
      <c r="BL318" s="55"/>
      <c r="BM318" s="55"/>
      <c r="BN318" s="55"/>
      <c r="BO318" s="55"/>
      <c r="BP318" s="39"/>
      <c r="BQ318" s="39"/>
      <c r="BR318" s="38"/>
    </row>
    <row r="319" spans="6:70" x14ac:dyDescent="0.3">
      <c r="AD319" s="35"/>
      <c r="AE319" s="6"/>
      <c r="AF319" s="6"/>
      <c r="AG319" s="6"/>
      <c r="AH319" s="6"/>
      <c r="AI319" s="6"/>
      <c r="AJ319" s="6"/>
      <c r="AK319" s="34"/>
      <c r="AM319" s="54"/>
      <c r="AN319" s="53" t="s">
        <v>77</v>
      </c>
      <c r="AO319" s="53"/>
      <c r="AP319" s="53">
        <f>AP317*(0.3333*4)</f>
        <v>36.867234379551718</v>
      </c>
      <c r="AQ319" s="53" t="s">
        <v>44</v>
      </c>
      <c r="AR319" s="53"/>
      <c r="AS319" s="53"/>
      <c r="AV319" s="36"/>
      <c r="AX319" s="54"/>
      <c r="AY319" s="53" t="s">
        <v>77</v>
      </c>
      <c r="AZ319" s="53"/>
      <c r="BA319" s="53">
        <f>BA317*(0.3333*4)</f>
        <v>44.364458347249503</v>
      </c>
      <c r="BB319" s="53" t="s">
        <v>44</v>
      </c>
      <c r="BC319" s="53"/>
      <c r="BD319" s="53"/>
      <c r="BG319" s="36"/>
      <c r="BI319" s="52"/>
      <c r="BJ319" s="46" t="s">
        <v>77</v>
      </c>
      <c r="BK319" s="46"/>
      <c r="BL319" s="46">
        <f>BL317*(0.3333*4)</f>
        <v>0</v>
      </c>
      <c r="BM319" s="46" t="s">
        <v>44</v>
      </c>
      <c r="BN319" s="46"/>
      <c r="BO319" s="46"/>
      <c r="BP319" s="19"/>
      <c r="BQ319" s="19"/>
      <c r="BR319" s="18"/>
    </row>
    <row r="320" spans="6:70" ht="15" customHeight="1" x14ac:dyDescent="0.3">
      <c r="I320" s="9" t="s">
        <v>62</v>
      </c>
      <c r="J320" s="9">
        <v>1</v>
      </c>
      <c r="K320" s="9" t="s">
        <v>39</v>
      </c>
      <c r="L320" s="9" t="s">
        <v>62</v>
      </c>
      <c r="M320" s="9">
        <f>16/12</f>
        <v>1.3333333333333333</v>
      </c>
      <c r="N320" s="9" t="s">
        <v>39</v>
      </c>
      <c r="O320" s="9" t="s">
        <v>62</v>
      </c>
      <c r="P320" s="9">
        <f>16/12</f>
        <v>1.3333333333333333</v>
      </c>
      <c r="Q320" s="9" t="s">
        <v>39</v>
      </c>
      <c r="R320" s="9" t="s">
        <v>62</v>
      </c>
      <c r="S320" s="9">
        <v>1</v>
      </c>
      <c r="T320" s="9" t="s">
        <v>39</v>
      </c>
      <c r="AM320" s="51"/>
      <c r="AN320" s="50" t="s">
        <v>76</v>
      </c>
      <c r="AO320" s="50"/>
      <c r="AP320" s="50"/>
      <c r="AQ320" s="50"/>
      <c r="AR320" s="50"/>
      <c r="AS320" s="50"/>
      <c r="AT320" s="6"/>
      <c r="AU320" s="6"/>
      <c r="AV320" s="34"/>
      <c r="AX320" s="51"/>
      <c r="AY320" s="50" t="s">
        <v>76</v>
      </c>
      <c r="AZ320" s="50"/>
      <c r="BA320" s="50"/>
      <c r="BB320" s="50"/>
      <c r="BC320" s="50"/>
      <c r="BD320" s="50"/>
      <c r="BE320" s="6"/>
      <c r="BF320" s="6"/>
      <c r="BG320" s="34"/>
      <c r="BI320" s="49"/>
      <c r="BJ320" s="48" t="s">
        <v>76</v>
      </c>
      <c r="BK320" s="48"/>
      <c r="BL320" s="48"/>
      <c r="BM320" s="48"/>
      <c r="BN320" s="48"/>
      <c r="BO320" s="48"/>
      <c r="BP320" s="16"/>
      <c r="BQ320" s="16"/>
      <c r="BR320" s="15"/>
    </row>
    <row r="321" spans="9:70" x14ac:dyDescent="0.3">
      <c r="I321" s="9" t="s">
        <v>40</v>
      </c>
      <c r="J321" s="44">
        <f>AG315</f>
        <v>27.38650397667206</v>
      </c>
      <c r="K321" s="9" t="s">
        <v>39</v>
      </c>
      <c r="L321" s="9" t="s">
        <v>40</v>
      </c>
      <c r="M321" s="9">
        <f>AP317</f>
        <v>27.653191103774166</v>
      </c>
      <c r="N321" s="9" t="s">
        <v>39</v>
      </c>
      <c r="O321" s="9" t="s">
        <v>40</v>
      </c>
      <c r="P321" s="9">
        <f>BA317</f>
        <v>33.276671427579885</v>
      </c>
      <c r="Q321" s="9" t="s">
        <v>39</v>
      </c>
      <c r="R321" s="9" t="s">
        <v>40</v>
      </c>
      <c r="S321" s="44">
        <f>AG337</f>
        <v>36.220170533996949</v>
      </c>
      <c r="T321" s="9" t="s">
        <v>39</v>
      </c>
      <c r="AM321" s="43"/>
      <c r="AN321" s="42"/>
      <c r="AO321" s="42"/>
      <c r="AP321" s="42"/>
      <c r="AQ321" s="42"/>
      <c r="AR321" s="42"/>
      <c r="AS321" s="42"/>
      <c r="AT321" s="42"/>
      <c r="AU321" s="42"/>
      <c r="AV321" s="41"/>
      <c r="AX321" s="43"/>
      <c r="AY321" s="42"/>
      <c r="AZ321" s="42"/>
      <c r="BA321" s="42"/>
      <c r="BB321" s="42"/>
      <c r="BC321" s="42"/>
      <c r="BD321" s="42"/>
      <c r="BE321" s="42"/>
      <c r="BF321" s="42"/>
      <c r="BG321" s="41"/>
      <c r="BI321" s="40"/>
      <c r="BJ321" s="39"/>
      <c r="BK321" s="39"/>
      <c r="BL321" s="39"/>
      <c r="BM321" s="39"/>
      <c r="BN321" s="39"/>
      <c r="BO321" s="39"/>
      <c r="BP321" s="39"/>
      <c r="BQ321" s="39"/>
      <c r="BR321" s="38"/>
    </row>
    <row r="322" spans="9:70" x14ac:dyDescent="0.3">
      <c r="I322" s="9" t="s">
        <v>58</v>
      </c>
      <c r="J322" s="32" t="s">
        <v>75</v>
      </c>
      <c r="K322" s="11"/>
      <c r="L322" s="9" t="s">
        <v>58</v>
      </c>
      <c r="M322" s="32" t="s">
        <v>74</v>
      </c>
      <c r="N322" s="11"/>
      <c r="O322" s="9" t="s">
        <v>58</v>
      </c>
      <c r="P322" s="32" t="s">
        <v>73</v>
      </c>
      <c r="Q322" s="11"/>
      <c r="R322" s="9" t="s">
        <v>58</v>
      </c>
      <c r="S322" s="32" t="s">
        <v>364</v>
      </c>
      <c r="T322" s="11"/>
      <c r="AD322" s="43"/>
      <c r="AE322" s="97" t="s">
        <v>360</v>
      </c>
      <c r="AF322" s="42"/>
      <c r="AG322" s="42"/>
      <c r="AH322" s="42"/>
      <c r="AI322" s="42"/>
      <c r="AJ322" s="42"/>
      <c r="AK322" s="41"/>
      <c r="AM322" s="37"/>
      <c r="AN322" s="188" t="s">
        <v>70</v>
      </c>
      <c r="AV322" s="36"/>
      <c r="AX322" s="37"/>
      <c r="AY322" s="188" t="s">
        <v>70</v>
      </c>
      <c r="BG322" s="36"/>
      <c r="BI322" s="21"/>
      <c r="BJ322" s="192" t="s">
        <v>70</v>
      </c>
      <c r="BK322" s="19"/>
      <c r="BL322" s="19"/>
      <c r="BM322" s="19"/>
      <c r="BN322" s="19"/>
      <c r="BO322" s="19"/>
      <c r="BP322" s="19"/>
      <c r="BQ322" s="19"/>
      <c r="BR322" s="18"/>
    </row>
    <row r="323" spans="9:70" x14ac:dyDescent="0.3">
      <c r="I323" s="9" t="s">
        <v>55</v>
      </c>
      <c r="J323" s="32">
        <v>39</v>
      </c>
      <c r="K323" s="11"/>
      <c r="L323" s="9" t="s">
        <v>55</v>
      </c>
      <c r="M323" s="32">
        <v>3</v>
      </c>
      <c r="N323" s="11"/>
      <c r="O323" s="9" t="s">
        <v>55</v>
      </c>
      <c r="P323" s="32">
        <v>3</v>
      </c>
      <c r="Q323" s="11"/>
      <c r="R323" s="9" t="s">
        <v>55</v>
      </c>
      <c r="S323" s="32">
        <v>18</v>
      </c>
      <c r="T323" s="11"/>
      <c r="AD323" s="37"/>
      <c r="AF323" t="s">
        <v>69</v>
      </c>
      <c r="AM323" s="37"/>
      <c r="AN323" s="188"/>
      <c r="AP323">
        <f>AT301*AP317</f>
        <v>226.75616705094814</v>
      </c>
      <c r="AQ323" t="s">
        <v>52</v>
      </c>
      <c r="AV323" s="36"/>
      <c r="AX323" s="37"/>
      <c r="AY323" s="188"/>
      <c r="BA323">
        <f>BE301*BA317</f>
        <v>272.86870570615503</v>
      </c>
      <c r="BB323" t="s">
        <v>52</v>
      </c>
      <c r="BG323" s="36"/>
      <c r="BI323" s="21"/>
      <c r="BJ323" s="192"/>
      <c r="BK323" s="19"/>
      <c r="BL323" s="19">
        <f>BP301*BL317</f>
        <v>0</v>
      </c>
      <c r="BM323" s="19" t="s">
        <v>52</v>
      </c>
      <c r="BN323" s="19"/>
      <c r="BO323" s="19"/>
      <c r="BP323" s="19"/>
      <c r="BQ323" s="19"/>
      <c r="BR323" s="18"/>
    </row>
    <row r="324" spans="9:70" x14ac:dyDescent="0.3">
      <c r="I324" s="9" t="s">
        <v>38</v>
      </c>
      <c r="J324" s="9">
        <f>J321*J320*J323</f>
        <v>1068.0736550902104</v>
      </c>
      <c r="K324" s="9" t="s">
        <v>37</v>
      </c>
      <c r="L324" s="9" t="s">
        <v>38</v>
      </c>
      <c r="M324" s="9">
        <f>M321*M320*M323</f>
        <v>110.61276441509665</v>
      </c>
      <c r="N324" s="9" t="s">
        <v>37</v>
      </c>
      <c r="O324" s="9" t="s">
        <v>38</v>
      </c>
      <c r="P324" s="9">
        <f>P321*P320*P323</f>
        <v>133.10668571031954</v>
      </c>
      <c r="Q324" s="9" t="s">
        <v>37</v>
      </c>
      <c r="R324" s="9" t="s">
        <v>38</v>
      </c>
      <c r="S324" s="9">
        <f>S321*S320*S323</f>
        <v>651.96306961194512</v>
      </c>
      <c r="T324" s="9" t="s">
        <v>37</v>
      </c>
      <c r="AD324" s="37"/>
      <c r="AI324" s="79"/>
      <c r="AK324" s="36"/>
      <c r="AM324" s="35"/>
      <c r="AN324" s="189"/>
      <c r="AO324" s="6"/>
      <c r="AP324" s="6"/>
      <c r="AQ324" s="6"/>
      <c r="AR324" s="6"/>
      <c r="AS324" s="6"/>
      <c r="AT324" s="6"/>
      <c r="AU324" s="6"/>
      <c r="AV324" s="34"/>
      <c r="AX324" s="35"/>
      <c r="AY324" s="189"/>
      <c r="AZ324" s="6"/>
      <c r="BA324" s="6"/>
      <c r="BB324" s="6"/>
      <c r="BC324" s="6"/>
      <c r="BD324" s="6"/>
      <c r="BE324" s="6"/>
      <c r="BF324" s="6"/>
      <c r="BG324" s="34"/>
      <c r="BI324" s="17"/>
      <c r="BJ324" s="193"/>
      <c r="BK324" s="16"/>
      <c r="BL324" s="16"/>
      <c r="BM324" s="16"/>
      <c r="BN324" s="16"/>
      <c r="BO324" s="16"/>
      <c r="BP324" s="16"/>
      <c r="BQ324" s="16"/>
      <c r="BR324" s="15"/>
    </row>
    <row r="325" spans="9:70" x14ac:dyDescent="0.3">
      <c r="I325" s="9" t="s">
        <v>54</v>
      </c>
      <c r="J325" s="33">
        <f>J324*1.1</f>
        <v>1174.8810205992315</v>
      </c>
      <c r="K325" s="9" t="s">
        <v>37</v>
      </c>
      <c r="L325" s="9" t="s">
        <v>54</v>
      </c>
      <c r="M325" s="33">
        <f>M324*1.1</f>
        <v>121.67404085660633</v>
      </c>
      <c r="N325" s="9" t="s">
        <v>37</v>
      </c>
      <c r="O325" s="9" t="s">
        <v>54</v>
      </c>
      <c r="P325" s="33">
        <f>P324*1.1</f>
        <v>146.41735428135149</v>
      </c>
      <c r="Q325" s="9" t="s">
        <v>37</v>
      </c>
      <c r="R325" s="9" t="s">
        <v>54</v>
      </c>
      <c r="S325" s="33">
        <f>S324*1.1</f>
        <v>717.15937657313964</v>
      </c>
      <c r="T325" s="9" t="s">
        <v>37</v>
      </c>
      <c r="AD325" s="37"/>
      <c r="AE325" t="s">
        <v>68</v>
      </c>
      <c r="AF325" s="85">
        <v>8.8332999999999995</v>
      </c>
      <c r="AG325" s="59" t="s">
        <v>39</v>
      </c>
      <c r="AH325" s="59"/>
      <c r="AK325" s="36"/>
      <c r="AM325" s="43"/>
      <c r="AN325" s="42"/>
      <c r="AO325" s="42"/>
      <c r="AP325" s="42"/>
      <c r="AQ325" s="42"/>
      <c r="AR325" s="42"/>
      <c r="AS325" s="42"/>
      <c r="AT325" s="42"/>
      <c r="AU325" s="42"/>
      <c r="AV325" s="41"/>
      <c r="AX325" s="43"/>
      <c r="AY325" s="42"/>
      <c r="AZ325" s="42"/>
      <c r="BA325" s="42"/>
      <c r="BB325" s="42"/>
      <c r="BC325" s="42"/>
      <c r="BD325" s="42"/>
      <c r="BE325" s="42"/>
      <c r="BF325" s="42"/>
      <c r="BG325" s="41"/>
      <c r="BI325" s="40"/>
      <c r="BJ325" s="39"/>
      <c r="BK325" s="39"/>
      <c r="BL325" s="39"/>
      <c r="BM325" s="39"/>
      <c r="BN325" s="39"/>
      <c r="BO325" s="39"/>
      <c r="BP325" s="39"/>
      <c r="BQ325" s="39"/>
      <c r="BR325" s="38"/>
    </row>
    <row r="326" spans="9:70" ht="15.6" x14ac:dyDescent="0.35">
      <c r="AD326" s="196" t="s">
        <v>361</v>
      </c>
      <c r="AE326" s="53" t="s">
        <v>97</v>
      </c>
      <c r="AF326">
        <v>36</v>
      </c>
      <c r="AG326" t="s">
        <v>64</v>
      </c>
      <c r="AI326" s="79" t="s">
        <v>65</v>
      </c>
      <c r="AJ326">
        <v>0</v>
      </c>
      <c r="AK326" s="36" t="s">
        <v>64</v>
      </c>
      <c r="AM326" s="37"/>
      <c r="AN326" s="188" t="s">
        <v>63</v>
      </c>
      <c r="AP326">
        <f>1.1*AP323</f>
        <v>249.43178375604296</v>
      </c>
      <c r="AQ326" t="s">
        <v>52</v>
      </c>
      <c r="AV326" s="36"/>
      <c r="AX326" s="37"/>
      <c r="AY326" s="188" t="s">
        <v>63</v>
      </c>
      <c r="BA326">
        <f>1.1*BA323</f>
        <v>300.15557627677055</v>
      </c>
      <c r="BB326" t="s">
        <v>52</v>
      </c>
      <c r="BG326" s="36"/>
      <c r="BI326" s="21"/>
      <c r="BJ326" s="192" t="s">
        <v>63</v>
      </c>
      <c r="BK326" s="19"/>
      <c r="BL326" s="19">
        <f>1.1*BL323</f>
        <v>0</v>
      </c>
      <c r="BM326" s="19" t="s">
        <v>52</v>
      </c>
      <c r="BN326" s="19"/>
      <c r="BO326" s="19"/>
      <c r="BP326" s="19"/>
      <c r="BQ326" s="19"/>
      <c r="BR326" s="18"/>
    </row>
    <row r="327" spans="9:70" x14ac:dyDescent="0.3">
      <c r="I327" s="9" t="s">
        <v>62</v>
      </c>
      <c r="J327" s="9">
        <v>1</v>
      </c>
      <c r="K327" s="9" t="s">
        <v>39</v>
      </c>
      <c r="L327" s="9" t="s">
        <v>62</v>
      </c>
      <c r="M327" s="9">
        <v>0</v>
      </c>
      <c r="N327" s="9" t="s">
        <v>39</v>
      </c>
      <c r="O327" s="9" t="s">
        <v>62</v>
      </c>
      <c r="P327" s="9">
        <f>((5.25*2)+(5*2))/12</f>
        <v>1.7083333333333333</v>
      </c>
      <c r="Q327" s="9" t="s">
        <v>39</v>
      </c>
      <c r="R327" s="9" t="s">
        <v>62</v>
      </c>
      <c r="S327" s="9">
        <v>0</v>
      </c>
      <c r="T327" s="9" t="s">
        <v>39</v>
      </c>
      <c r="AD327" s="196"/>
      <c r="AF327">
        <f>AF326/12</f>
        <v>3</v>
      </c>
      <c r="AG327" t="s">
        <v>39</v>
      </c>
      <c r="AI327" s="79"/>
      <c r="AK327" s="36"/>
      <c r="AM327" s="35"/>
      <c r="AN327" s="189"/>
      <c r="AO327" s="6"/>
      <c r="AP327" s="6"/>
      <c r="AQ327" s="6"/>
      <c r="AR327" s="6"/>
      <c r="AS327" s="6"/>
      <c r="AT327" s="6"/>
      <c r="AU327" s="6"/>
      <c r="AV327" s="34"/>
      <c r="AX327" s="35"/>
      <c r="AY327" s="189"/>
      <c r="AZ327" s="6"/>
      <c r="BA327" s="6"/>
      <c r="BB327" s="6"/>
      <c r="BC327" s="6"/>
      <c r="BD327" s="6"/>
      <c r="BE327" s="6"/>
      <c r="BF327" s="6"/>
      <c r="BG327" s="34"/>
      <c r="BI327" s="17"/>
      <c r="BJ327" s="193"/>
      <c r="BK327" s="16"/>
      <c r="BL327" s="16"/>
      <c r="BM327" s="16"/>
      <c r="BN327" s="16"/>
      <c r="BO327" s="16"/>
      <c r="BP327" s="16"/>
      <c r="BQ327" s="16"/>
      <c r="BR327" s="15"/>
    </row>
    <row r="328" spans="9:70" x14ac:dyDescent="0.3">
      <c r="I328" s="9" t="s">
        <v>40</v>
      </c>
      <c r="J328" s="44">
        <v>14.568</v>
      </c>
      <c r="K328" s="9" t="s">
        <v>39</v>
      </c>
      <c r="L328" s="9" t="s">
        <v>40</v>
      </c>
      <c r="M328" s="44">
        <f>AG337</f>
        <v>36.220170533996949</v>
      </c>
      <c r="N328" s="9" t="s">
        <v>39</v>
      </c>
      <c r="O328" s="9" t="s">
        <v>40</v>
      </c>
      <c r="P328" s="44">
        <v>11.28</v>
      </c>
      <c r="Q328" s="9" t="s">
        <v>39</v>
      </c>
      <c r="R328" s="9" t="s">
        <v>40</v>
      </c>
      <c r="S328" s="44">
        <v>0</v>
      </c>
      <c r="T328" s="9" t="s">
        <v>39</v>
      </c>
      <c r="AD328" s="37"/>
      <c r="AK328" s="36"/>
      <c r="AM328" s="43"/>
      <c r="AN328" s="42"/>
      <c r="AO328" s="42"/>
      <c r="AP328" s="42"/>
      <c r="AQ328" s="42"/>
      <c r="AR328" s="42"/>
      <c r="AS328" s="42"/>
      <c r="AT328" s="42"/>
      <c r="AU328" s="42"/>
      <c r="AV328" s="41"/>
      <c r="AX328" s="43"/>
      <c r="AY328" s="42"/>
      <c r="AZ328" s="42"/>
      <c r="BA328" s="42"/>
      <c r="BB328" s="42"/>
      <c r="BC328" s="42"/>
      <c r="BD328" s="42"/>
      <c r="BE328" s="42"/>
      <c r="BF328" s="42"/>
      <c r="BG328" s="41"/>
      <c r="BI328" s="40"/>
      <c r="BJ328" s="39"/>
      <c r="BK328" s="39"/>
      <c r="BL328" s="39"/>
      <c r="BM328" s="39"/>
      <c r="BN328" s="39"/>
      <c r="BO328" s="39"/>
      <c r="BP328" s="39"/>
      <c r="BQ328" s="39"/>
      <c r="BR328" s="38"/>
    </row>
    <row r="329" spans="9:70" x14ac:dyDescent="0.3">
      <c r="I329" s="9" t="s">
        <v>58</v>
      </c>
      <c r="J329" s="32" t="s">
        <v>61</v>
      </c>
      <c r="K329" s="11"/>
      <c r="L329" s="9" t="s">
        <v>58</v>
      </c>
      <c r="M329" s="32" t="s">
        <v>60</v>
      </c>
      <c r="N329" s="11"/>
      <c r="O329" s="9" t="s">
        <v>58</v>
      </c>
      <c r="P329" s="32" t="s">
        <v>59</v>
      </c>
      <c r="Q329" s="11"/>
      <c r="R329" s="9" t="s">
        <v>58</v>
      </c>
      <c r="S329" s="32" t="s">
        <v>57</v>
      </c>
      <c r="T329" s="11"/>
      <c r="AD329" s="37"/>
      <c r="AK329" s="36"/>
      <c r="AM329" s="37"/>
      <c r="AN329" s="188" t="s">
        <v>56</v>
      </c>
      <c r="AP329">
        <v>3</v>
      </c>
      <c r="AV329" s="36"/>
      <c r="AX329" s="37"/>
      <c r="AY329" s="188" t="s">
        <v>56</v>
      </c>
      <c r="BA329">
        <v>3</v>
      </c>
      <c r="BG329" s="36"/>
      <c r="BI329" s="21"/>
      <c r="BJ329" s="192" t="s">
        <v>56</v>
      </c>
      <c r="BK329" s="19"/>
      <c r="BL329" s="19">
        <v>2</v>
      </c>
      <c r="BM329" s="19"/>
      <c r="BN329" s="19"/>
      <c r="BO329" s="19"/>
      <c r="BP329" s="19"/>
      <c r="BQ329" s="19"/>
      <c r="BR329" s="18"/>
    </row>
    <row r="330" spans="9:70" x14ac:dyDescent="0.3">
      <c r="I330" s="9" t="s">
        <v>55</v>
      </c>
      <c r="J330" s="32">
        <v>0</v>
      </c>
      <c r="K330" s="11"/>
      <c r="L330" s="9" t="s">
        <v>55</v>
      </c>
      <c r="M330" s="32">
        <v>0</v>
      </c>
      <c r="N330" s="11"/>
      <c r="O330" s="9" t="s">
        <v>55</v>
      </c>
      <c r="P330" s="32">
        <v>0</v>
      </c>
      <c r="Q330" s="11"/>
      <c r="R330" s="9" t="s">
        <v>55</v>
      </c>
      <c r="S330" s="32">
        <v>0</v>
      </c>
      <c r="T330" s="11"/>
      <c r="AD330" s="37"/>
      <c r="AK330" s="36"/>
      <c r="AM330" s="37"/>
      <c r="AN330" s="188"/>
      <c r="AV330" s="36"/>
      <c r="AX330" s="37"/>
      <c r="AY330" s="188"/>
      <c r="BG330" s="36"/>
      <c r="BI330" s="21"/>
      <c r="BJ330" s="192"/>
      <c r="BK330" s="19"/>
      <c r="BL330" s="19"/>
      <c r="BM330" s="19"/>
      <c r="BN330" s="19"/>
      <c r="BO330" s="19"/>
      <c r="BP330" s="19"/>
      <c r="BQ330" s="19"/>
      <c r="BR330" s="18"/>
    </row>
    <row r="331" spans="9:70" x14ac:dyDescent="0.3">
      <c r="I331" s="9" t="s">
        <v>38</v>
      </c>
      <c r="J331" s="9">
        <f>J328*J327*J330</f>
        <v>0</v>
      </c>
      <c r="K331" s="9" t="s">
        <v>37</v>
      </c>
      <c r="L331" s="9" t="s">
        <v>38</v>
      </c>
      <c r="M331" s="9">
        <f>M328*M327*M330</f>
        <v>0</v>
      </c>
      <c r="N331" s="9" t="s">
        <v>37</v>
      </c>
      <c r="O331" s="9" t="s">
        <v>38</v>
      </c>
      <c r="P331" s="9">
        <f>P328*P327*P330</f>
        <v>0</v>
      </c>
      <c r="Q331" s="9" t="s">
        <v>37</v>
      </c>
      <c r="R331" s="9" t="s">
        <v>38</v>
      </c>
      <c r="S331" s="9">
        <f>S328*S327*S330</f>
        <v>0</v>
      </c>
      <c r="T331" s="9" t="s">
        <v>37</v>
      </c>
      <c r="AD331" s="37"/>
      <c r="AE331">
        <f>AF327-2*(AJ326/12+0.083)</f>
        <v>2.8340000000000001</v>
      </c>
      <c r="AF331" t="s">
        <v>6</v>
      </c>
      <c r="AH331">
        <f>SQRT((AG335)^2+(AE331)^2)</f>
        <v>9.2767852669984752</v>
      </c>
      <c r="AI331" t="s">
        <v>6</v>
      </c>
      <c r="AK331" s="36"/>
      <c r="AM331" s="35"/>
      <c r="AN331" s="6"/>
      <c r="AO331" s="6"/>
      <c r="AP331" s="6"/>
      <c r="AQ331" s="6"/>
      <c r="AR331" s="6"/>
      <c r="AS331" s="6"/>
      <c r="AT331" s="6"/>
      <c r="AU331" s="6"/>
      <c r="AV331" s="34"/>
      <c r="AX331" s="35"/>
      <c r="AY331" s="6"/>
      <c r="AZ331" s="6"/>
      <c r="BA331" s="6"/>
      <c r="BB331" s="6"/>
      <c r="BC331" s="6"/>
      <c r="BD331" s="6"/>
      <c r="BE331" s="6"/>
      <c r="BF331" s="6"/>
      <c r="BG331" s="34"/>
      <c r="BI331" s="17"/>
      <c r="BJ331" s="16"/>
      <c r="BK331" s="16"/>
      <c r="BL331" s="16"/>
      <c r="BM331" s="16"/>
      <c r="BN331" s="16"/>
      <c r="BO331" s="16"/>
      <c r="BP331" s="16"/>
      <c r="BQ331" s="16"/>
      <c r="BR331" s="15"/>
    </row>
    <row r="332" spans="9:70" ht="18" customHeight="1" x14ac:dyDescent="0.3">
      <c r="I332" s="9" t="s">
        <v>54</v>
      </c>
      <c r="J332" s="33">
        <f>J331*1.1</f>
        <v>0</v>
      </c>
      <c r="K332" s="9" t="s">
        <v>37</v>
      </c>
      <c r="L332" s="9" t="s">
        <v>54</v>
      </c>
      <c r="M332" s="33">
        <f>M331*1.1</f>
        <v>0</v>
      </c>
      <c r="N332" s="9" t="s">
        <v>37</v>
      </c>
      <c r="O332" s="9" t="s">
        <v>54</v>
      </c>
      <c r="P332" s="33">
        <f>P331*1.1</f>
        <v>0</v>
      </c>
      <c r="Q332" s="9" t="s">
        <v>37</v>
      </c>
      <c r="R332" s="9" t="s">
        <v>54</v>
      </c>
      <c r="S332" s="33">
        <f>S331*1.1</f>
        <v>0</v>
      </c>
      <c r="T332" s="9" t="s">
        <v>37</v>
      </c>
      <c r="AD332" s="37"/>
      <c r="AE332">
        <f>AE331*12</f>
        <v>34.008000000000003</v>
      </c>
      <c r="AK332" s="36"/>
      <c r="AM332" s="32"/>
      <c r="AN332" s="31" t="s">
        <v>53</v>
      </c>
      <c r="AO332" s="12"/>
      <c r="AP332" s="30">
        <f>AP326*AP329</f>
        <v>748.29535126812891</v>
      </c>
      <c r="AQ332" s="12" t="s">
        <v>52</v>
      </c>
      <c r="AR332" s="12"/>
      <c r="AS332" s="12"/>
      <c r="AT332" s="12"/>
      <c r="AU332" s="12"/>
      <c r="AV332" s="11"/>
      <c r="AX332" s="32"/>
      <c r="AY332" s="31" t="s">
        <v>53</v>
      </c>
      <c r="AZ332" s="12"/>
      <c r="BA332" s="30">
        <f>BA326*BA329</f>
        <v>900.46672883031169</v>
      </c>
      <c r="BB332" s="12" t="s">
        <v>52</v>
      </c>
      <c r="BC332" s="12"/>
      <c r="BD332" s="12"/>
      <c r="BE332" s="12"/>
      <c r="BF332" s="12"/>
      <c r="BG332" s="11"/>
      <c r="BI332" s="29"/>
      <c r="BJ332" s="28" t="s">
        <v>53</v>
      </c>
      <c r="BK332" s="27"/>
      <c r="BL332" s="27">
        <f>BL326*BL329</f>
        <v>0</v>
      </c>
      <c r="BM332" s="27" t="s">
        <v>52</v>
      </c>
      <c r="BN332" s="27"/>
      <c r="BO332" s="27"/>
      <c r="BP332" s="27"/>
      <c r="BQ332" s="27"/>
      <c r="BR332" s="26"/>
    </row>
    <row r="333" spans="9:70" x14ac:dyDescent="0.3">
      <c r="AD333" s="37"/>
      <c r="AK333" s="36"/>
    </row>
    <row r="334" spans="9:70" x14ac:dyDescent="0.3">
      <c r="AD334" s="37"/>
      <c r="AK334" s="36"/>
    </row>
    <row r="335" spans="9:70" ht="43.2" x14ac:dyDescent="0.3">
      <c r="M335" s="25" t="s">
        <v>51</v>
      </c>
      <c r="N335" s="24">
        <f>K308+O308+K312+O313+S313+K317+O317+S317+J325+M325+P325+S325+J332+M332+P332+S332</f>
        <v>13147.744749704807</v>
      </c>
      <c r="O335" t="s">
        <v>37</v>
      </c>
      <c r="P335" s="5" t="s">
        <v>50</v>
      </c>
      <c r="AD335" s="37"/>
      <c r="AG335" s="59">
        <f>AF325</f>
        <v>8.8332999999999995</v>
      </c>
      <c r="AK335" s="36"/>
    </row>
    <row r="336" spans="9:70" x14ac:dyDescent="0.3">
      <c r="AD336" s="37"/>
      <c r="AK336" s="36"/>
    </row>
    <row r="337" spans="9:37" x14ac:dyDescent="0.3">
      <c r="AD337" s="37" t="s">
        <v>49</v>
      </c>
      <c r="AG337" s="59">
        <f>(2*AG335)+(2*AH331)</f>
        <v>36.220170533996949</v>
      </c>
      <c r="AH337" t="s">
        <v>48</v>
      </c>
      <c r="AK337" s="36"/>
    </row>
    <row r="338" spans="9:37" x14ac:dyDescent="0.3">
      <c r="AD338" s="37"/>
      <c r="AK338" s="36"/>
    </row>
    <row r="339" spans="9:37" x14ac:dyDescent="0.3">
      <c r="AD339" s="60" t="s">
        <v>47</v>
      </c>
      <c r="AG339" s="8">
        <f>0.25*4*AG337</f>
        <v>36.220170533996949</v>
      </c>
      <c r="AH339" t="s">
        <v>44</v>
      </c>
      <c r="AK339" s="36"/>
    </row>
    <row r="340" spans="9:37" x14ac:dyDescent="0.3">
      <c r="AD340" s="37" t="s">
        <v>46</v>
      </c>
      <c r="AF340" t="s">
        <v>45</v>
      </c>
      <c r="AG340" s="59">
        <f>AG339*1.1</f>
        <v>39.842187587396644</v>
      </c>
      <c r="AH340" t="s">
        <v>44</v>
      </c>
      <c r="AK340" s="36"/>
    </row>
    <row r="341" spans="9:37" x14ac:dyDescent="0.3">
      <c r="AD341" s="35"/>
      <c r="AE341" s="6"/>
      <c r="AF341" s="6"/>
      <c r="AG341" s="6"/>
      <c r="AH341" s="6"/>
      <c r="AI341" s="6"/>
      <c r="AJ341" s="6"/>
      <c r="AK341" s="34"/>
    </row>
    <row r="342" spans="9:37" x14ac:dyDescent="0.3">
      <c r="I342" s="14" t="s">
        <v>43</v>
      </c>
      <c r="J342" s="12"/>
      <c r="K342" s="13" t="s">
        <v>42</v>
      </c>
      <c r="L342" s="12"/>
      <c r="M342" s="12"/>
      <c r="N342" s="11"/>
    </row>
    <row r="343" spans="9:37" x14ac:dyDescent="0.3">
      <c r="I343" s="9" t="s">
        <v>41</v>
      </c>
      <c r="J343" s="9">
        <v>10</v>
      </c>
      <c r="K343" s="9" t="s">
        <v>39</v>
      </c>
    </row>
    <row r="344" spans="9:37" x14ac:dyDescent="0.3">
      <c r="I344" s="9" t="s">
        <v>40</v>
      </c>
      <c r="J344" s="9">
        <v>20</v>
      </c>
      <c r="K344" s="9" t="s">
        <v>39</v>
      </c>
    </row>
    <row r="345" spans="9:37" x14ac:dyDescent="0.3">
      <c r="I345" s="9" t="s">
        <v>38</v>
      </c>
      <c r="J345" s="10">
        <f>J343*J344</f>
        <v>200</v>
      </c>
      <c r="K345" s="9" t="s">
        <v>37</v>
      </c>
    </row>
    <row r="353" spans="1:5" x14ac:dyDescent="0.3">
      <c r="A353" s="5" t="s">
        <v>36</v>
      </c>
    </row>
    <row r="355" spans="1:5" x14ac:dyDescent="0.3">
      <c r="A355" t="s">
        <v>35</v>
      </c>
      <c r="D355">
        <v>0</v>
      </c>
      <c r="E355" t="s">
        <v>6</v>
      </c>
    </row>
    <row r="356" spans="1:5" x14ac:dyDescent="0.3">
      <c r="A356" t="s">
        <v>34</v>
      </c>
      <c r="D356">
        <v>0</v>
      </c>
      <c r="E356" t="s">
        <v>33</v>
      </c>
    </row>
    <row r="358" spans="1:5" x14ac:dyDescent="0.3">
      <c r="A358" t="s">
        <v>32</v>
      </c>
      <c r="D358" s="8">
        <v>0</v>
      </c>
      <c r="E358" t="s">
        <v>6</v>
      </c>
    </row>
    <row r="359" spans="1:5" x14ac:dyDescent="0.3">
      <c r="A359" t="s">
        <v>31</v>
      </c>
      <c r="D359" s="7">
        <v>0</v>
      </c>
      <c r="E359" s="6" t="s">
        <v>6</v>
      </c>
    </row>
    <row r="360" spans="1:5" x14ac:dyDescent="0.3">
      <c r="A360" t="s">
        <v>30</v>
      </c>
      <c r="D360" s="4">
        <f>SUM(D358:D359)</f>
        <v>0</v>
      </c>
      <c r="E360" s="3" t="s">
        <v>6</v>
      </c>
    </row>
    <row r="364" spans="1:5" x14ac:dyDescent="0.3">
      <c r="A364" s="2" t="s">
        <v>29</v>
      </c>
    </row>
    <row r="366" spans="1:5" x14ac:dyDescent="0.3">
      <c r="A366" t="s">
        <v>28</v>
      </c>
      <c r="B366" t="s">
        <v>27</v>
      </c>
      <c r="C366">
        <v>0</v>
      </c>
      <c r="D366" t="s">
        <v>0</v>
      </c>
    </row>
    <row r="369" spans="1:4" x14ac:dyDescent="0.3">
      <c r="A369" s="2" t="s">
        <v>366</v>
      </c>
    </row>
    <row r="370" spans="1:4" x14ac:dyDescent="0.3">
      <c r="A370" s="2" t="s">
        <v>25</v>
      </c>
    </row>
    <row r="371" spans="1:4" x14ac:dyDescent="0.3">
      <c r="A371" t="s">
        <v>24</v>
      </c>
      <c r="C371">
        <v>4</v>
      </c>
      <c r="D371" t="s">
        <v>0</v>
      </c>
    </row>
    <row r="373" spans="1:4" x14ac:dyDescent="0.3">
      <c r="A373" t="s">
        <v>23</v>
      </c>
      <c r="C373" s="6">
        <v>4</v>
      </c>
      <c r="D373" s="6" t="s">
        <v>0</v>
      </c>
    </row>
    <row r="374" spans="1:4" x14ac:dyDescent="0.3">
      <c r="C374" s="3">
        <f>SUM(C371:C373)</f>
        <v>8</v>
      </c>
      <c r="D374" s="3" t="s">
        <v>0</v>
      </c>
    </row>
    <row r="377" spans="1:4" x14ac:dyDescent="0.3">
      <c r="A377" s="5" t="s">
        <v>22</v>
      </c>
    </row>
    <row r="378" spans="1:4" x14ac:dyDescent="0.3">
      <c r="A378" t="s">
        <v>21</v>
      </c>
      <c r="C378" s="3"/>
      <c r="D378" s="3" t="s">
        <v>0</v>
      </c>
    </row>
    <row r="383" spans="1:4" x14ac:dyDescent="0.3">
      <c r="A383" s="5" t="s">
        <v>20</v>
      </c>
    </row>
    <row r="384" spans="1:4" x14ac:dyDescent="0.3">
      <c r="A384" s="5"/>
    </row>
    <row r="385" spans="1:5" x14ac:dyDescent="0.3">
      <c r="A385" t="s">
        <v>12</v>
      </c>
      <c r="C385">
        <v>0</v>
      </c>
      <c r="D385" t="s">
        <v>11</v>
      </c>
      <c r="E385" t="s">
        <v>10</v>
      </c>
    </row>
    <row r="386" spans="1:5" x14ac:dyDescent="0.3">
      <c r="A386" s="5"/>
    </row>
    <row r="387" spans="1:5" x14ac:dyDescent="0.3">
      <c r="A387" t="s">
        <v>19</v>
      </c>
    </row>
    <row r="388" spans="1:5" hidden="1" x14ac:dyDescent="0.3">
      <c r="A388" t="s">
        <v>15</v>
      </c>
      <c r="D388">
        <v>0</v>
      </c>
      <c r="E388" t="s">
        <v>6</v>
      </c>
    </row>
    <row r="389" spans="1:5" hidden="1" x14ac:dyDescent="0.3">
      <c r="A389" t="s">
        <v>7</v>
      </c>
      <c r="D389">
        <v>0</v>
      </c>
      <c r="E389" t="s">
        <v>6</v>
      </c>
    </row>
    <row r="390" spans="1:5" hidden="1" x14ac:dyDescent="0.3">
      <c r="A390" t="s">
        <v>5</v>
      </c>
      <c r="D390">
        <v>0</v>
      </c>
    </row>
    <row r="391" spans="1:5" x14ac:dyDescent="0.3">
      <c r="A391" t="s">
        <v>4</v>
      </c>
      <c r="C391">
        <v>11</v>
      </c>
      <c r="D391" t="s">
        <v>3</v>
      </c>
    </row>
    <row r="393" spans="1:5" x14ac:dyDescent="0.3">
      <c r="A393" t="s">
        <v>18</v>
      </c>
    </row>
    <row r="394" spans="1:5" hidden="1" x14ac:dyDescent="0.3">
      <c r="A394" t="s">
        <v>15</v>
      </c>
      <c r="D394">
        <v>0</v>
      </c>
      <c r="E394" t="s">
        <v>6</v>
      </c>
    </row>
    <row r="395" spans="1:5" hidden="1" x14ac:dyDescent="0.3">
      <c r="A395" t="s">
        <v>7</v>
      </c>
      <c r="D395">
        <v>0</v>
      </c>
      <c r="E395" t="s">
        <v>6</v>
      </c>
    </row>
    <row r="396" spans="1:5" hidden="1" x14ac:dyDescent="0.3">
      <c r="A396" t="s">
        <v>5</v>
      </c>
      <c r="D396">
        <v>0</v>
      </c>
    </row>
    <row r="397" spans="1:5" x14ac:dyDescent="0.3">
      <c r="A397" t="s">
        <v>4</v>
      </c>
      <c r="C397">
        <v>8</v>
      </c>
      <c r="D397" t="s">
        <v>3</v>
      </c>
    </row>
    <row r="399" spans="1:5" x14ac:dyDescent="0.3">
      <c r="A399" t="s">
        <v>17</v>
      </c>
    </row>
    <row r="400" spans="1:5" hidden="1" x14ac:dyDescent="0.3">
      <c r="A400" t="s">
        <v>15</v>
      </c>
      <c r="D400">
        <v>0</v>
      </c>
      <c r="E400" t="s">
        <v>6</v>
      </c>
    </row>
    <row r="401" spans="1:5" hidden="1" x14ac:dyDescent="0.3">
      <c r="A401" t="s">
        <v>7</v>
      </c>
      <c r="D401">
        <v>0</v>
      </c>
      <c r="E401" t="s">
        <v>6</v>
      </c>
    </row>
    <row r="402" spans="1:5" hidden="1" x14ac:dyDescent="0.3">
      <c r="A402" t="s">
        <v>5</v>
      </c>
      <c r="D402">
        <v>0</v>
      </c>
    </row>
    <row r="403" spans="1:5" x14ac:dyDescent="0.3">
      <c r="A403" t="s">
        <v>4</v>
      </c>
      <c r="C403">
        <v>1</v>
      </c>
      <c r="D403" t="s">
        <v>3</v>
      </c>
    </row>
    <row r="405" spans="1:5" x14ac:dyDescent="0.3">
      <c r="A405" t="s">
        <v>348</v>
      </c>
    </row>
    <row r="406" spans="1:5" hidden="1" x14ac:dyDescent="0.3">
      <c r="A406" t="s">
        <v>15</v>
      </c>
      <c r="D406">
        <v>0</v>
      </c>
      <c r="E406" t="s">
        <v>6</v>
      </c>
    </row>
    <row r="407" spans="1:5" hidden="1" x14ac:dyDescent="0.3">
      <c r="A407" t="s">
        <v>7</v>
      </c>
      <c r="D407">
        <v>0</v>
      </c>
      <c r="E407" t="s">
        <v>6</v>
      </c>
    </row>
    <row r="408" spans="1:5" hidden="1" x14ac:dyDescent="0.3">
      <c r="A408" t="s">
        <v>5</v>
      </c>
      <c r="D408">
        <v>0</v>
      </c>
    </row>
    <row r="409" spans="1:5" x14ac:dyDescent="0.3">
      <c r="A409" t="s">
        <v>4</v>
      </c>
      <c r="C409">
        <v>24</v>
      </c>
      <c r="D409" t="s">
        <v>3</v>
      </c>
    </row>
    <row r="411" spans="1:5" x14ac:dyDescent="0.3">
      <c r="A411" t="s">
        <v>342</v>
      </c>
    </row>
    <row r="412" spans="1:5" hidden="1" x14ac:dyDescent="0.3">
      <c r="A412" t="s">
        <v>15</v>
      </c>
      <c r="D412">
        <v>0</v>
      </c>
      <c r="E412" t="s">
        <v>6</v>
      </c>
    </row>
    <row r="413" spans="1:5" hidden="1" x14ac:dyDescent="0.3">
      <c r="A413" t="s">
        <v>7</v>
      </c>
      <c r="D413">
        <v>0</v>
      </c>
      <c r="E413" t="s">
        <v>6</v>
      </c>
    </row>
    <row r="414" spans="1:5" hidden="1" x14ac:dyDescent="0.3">
      <c r="A414" t="s">
        <v>5</v>
      </c>
      <c r="D414">
        <v>0</v>
      </c>
    </row>
    <row r="415" spans="1:5" x14ac:dyDescent="0.3">
      <c r="A415" t="s">
        <v>4</v>
      </c>
      <c r="C415">
        <v>0</v>
      </c>
      <c r="D415" t="s">
        <v>3</v>
      </c>
    </row>
    <row r="417" spans="1:5" x14ac:dyDescent="0.3">
      <c r="A417" t="s">
        <v>341</v>
      </c>
    </row>
    <row r="418" spans="1:5" hidden="1" x14ac:dyDescent="0.3">
      <c r="A418" t="s">
        <v>15</v>
      </c>
      <c r="D418">
        <v>0</v>
      </c>
      <c r="E418" t="s">
        <v>6</v>
      </c>
    </row>
    <row r="419" spans="1:5" hidden="1" x14ac:dyDescent="0.3">
      <c r="A419" t="s">
        <v>7</v>
      </c>
      <c r="D419">
        <v>0</v>
      </c>
      <c r="E419" t="s">
        <v>6</v>
      </c>
    </row>
    <row r="420" spans="1:5" hidden="1" x14ac:dyDescent="0.3">
      <c r="A420" t="s">
        <v>5</v>
      </c>
      <c r="D420">
        <v>0</v>
      </c>
    </row>
    <row r="421" spans="1:5" x14ac:dyDescent="0.3">
      <c r="A421" t="s">
        <v>4</v>
      </c>
      <c r="C421">
        <v>22.5</v>
      </c>
      <c r="D421" t="s">
        <v>3</v>
      </c>
    </row>
    <row r="423" spans="1:5" x14ac:dyDescent="0.3">
      <c r="A423" t="s">
        <v>347</v>
      </c>
    </row>
    <row r="424" spans="1:5" hidden="1" x14ac:dyDescent="0.3">
      <c r="A424" t="s">
        <v>15</v>
      </c>
      <c r="D424">
        <v>0</v>
      </c>
    </row>
    <row r="425" spans="1:5" hidden="1" x14ac:dyDescent="0.3">
      <c r="A425" t="s">
        <v>7</v>
      </c>
      <c r="D425">
        <v>0</v>
      </c>
    </row>
    <row r="426" spans="1:5" hidden="1" x14ac:dyDescent="0.3">
      <c r="A426" t="s">
        <v>5</v>
      </c>
      <c r="D426">
        <v>0</v>
      </c>
    </row>
    <row r="427" spans="1:5" x14ac:dyDescent="0.3">
      <c r="A427" t="s">
        <v>4</v>
      </c>
      <c r="C427">
        <v>11.5</v>
      </c>
      <c r="D427" t="s">
        <v>3</v>
      </c>
    </row>
    <row r="429" spans="1:5" x14ac:dyDescent="0.3">
      <c r="A429" t="s">
        <v>346</v>
      </c>
    </row>
    <row r="430" spans="1:5" hidden="1" x14ac:dyDescent="0.3">
      <c r="A430" t="s">
        <v>15</v>
      </c>
      <c r="D430">
        <v>0</v>
      </c>
    </row>
    <row r="431" spans="1:5" hidden="1" x14ac:dyDescent="0.3">
      <c r="A431" t="s">
        <v>7</v>
      </c>
      <c r="D431">
        <v>0</v>
      </c>
    </row>
    <row r="432" spans="1:5" hidden="1" x14ac:dyDescent="0.3">
      <c r="A432" t="s">
        <v>5</v>
      </c>
      <c r="D432">
        <v>0</v>
      </c>
    </row>
    <row r="433" spans="1:5" x14ac:dyDescent="0.3">
      <c r="A433" t="s">
        <v>4</v>
      </c>
      <c r="C433">
        <v>22.5</v>
      </c>
      <c r="D433" t="s">
        <v>3</v>
      </c>
    </row>
    <row r="434" spans="1:5" x14ac:dyDescent="0.3">
      <c r="C434">
        <f>SUM(C403:C433)</f>
        <v>81.5</v>
      </c>
    </row>
    <row r="437" spans="1:5" x14ac:dyDescent="0.3">
      <c r="A437" t="s">
        <v>14</v>
      </c>
      <c r="C437" s="3">
        <f>ROUNDUP(C385+C391+C397+C403+C409+C415+C421+C427+C433,0)</f>
        <v>101</v>
      </c>
      <c r="D437" s="3" t="s">
        <v>3</v>
      </c>
    </row>
    <row r="438" spans="1:5" x14ac:dyDescent="0.3">
      <c r="A438" t="s">
        <v>394</v>
      </c>
      <c r="C438">
        <f>ROUNDUP(C437*1.5,0)</f>
        <v>152</v>
      </c>
      <c r="D438" t="s">
        <v>11</v>
      </c>
    </row>
    <row r="441" spans="1:5" x14ac:dyDescent="0.3">
      <c r="A441" s="2"/>
      <c r="B441" s="2"/>
      <c r="C441" s="2"/>
    </row>
    <row r="442" spans="1:5" x14ac:dyDescent="0.3">
      <c r="A442" s="5" t="s">
        <v>13</v>
      </c>
    </row>
    <row r="443" spans="1:5" x14ac:dyDescent="0.3">
      <c r="A443" s="5"/>
    </row>
    <row r="444" spans="1:5" x14ac:dyDescent="0.3">
      <c r="A444" t="s">
        <v>12</v>
      </c>
      <c r="C444">
        <v>0</v>
      </c>
      <c r="D444" t="s">
        <v>11</v>
      </c>
      <c r="E444" t="s">
        <v>10</v>
      </c>
    </row>
    <row r="445" spans="1:5" x14ac:dyDescent="0.3">
      <c r="A445" s="5"/>
    </row>
    <row r="446" spans="1:5" x14ac:dyDescent="0.3">
      <c r="A446" t="s">
        <v>9</v>
      </c>
    </row>
    <row r="447" spans="1:5" x14ac:dyDescent="0.3">
      <c r="A447" t="s">
        <v>8</v>
      </c>
      <c r="D447">
        <v>0</v>
      </c>
      <c r="E447" t="s">
        <v>6</v>
      </c>
    </row>
    <row r="448" spans="1:5" x14ac:dyDescent="0.3">
      <c r="A448" t="s">
        <v>7</v>
      </c>
      <c r="D448">
        <v>1.25</v>
      </c>
      <c r="E448" t="s">
        <v>6</v>
      </c>
    </row>
    <row r="449" spans="1:5" x14ac:dyDescent="0.3">
      <c r="A449" t="s">
        <v>5</v>
      </c>
      <c r="D449">
        <v>1</v>
      </c>
    </row>
    <row r="450" spans="1:5" x14ac:dyDescent="0.3">
      <c r="A450" t="s">
        <v>4</v>
      </c>
      <c r="C450">
        <f>D447*D448*D449</f>
        <v>0</v>
      </c>
      <c r="D450" t="s">
        <v>3</v>
      </c>
    </row>
    <row r="451" spans="1:5" x14ac:dyDescent="0.3">
      <c r="C451" s="4">
        <f>C450/9</f>
        <v>0</v>
      </c>
      <c r="D451" s="3" t="s">
        <v>2</v>
      </c>
    </row>
    <row r="454" spans="1:5" x14ac:dyDescent="0.3">
      <c r="A454" s="2" t="s">
        <v>1</v>
      </c>
      <c r="B454" s="1"/>
      <c r="C454" s="1"/>
      <c r="D454">
        <v>0</v>
      </c>
      <c r="E454" t="s">
        <v>0</v>
      </c>
    </row>
    <row r="455" spans="1:5" x14ac:dyDescent="0.3">
      <c r="A455" s="2"/>
      <c r="B455" s="1"/>
      <c r="C455" s="1"/>
    </row>
    <row r="456" spans="1:5" x14ac:dyDescent="0.3">
      <c r="A456" s="2"/>
      <c r="B456" s="1"/>
      <c r="C456" s="1"/>
    </row>
    <row r="457" spans="1:5" x14ac:dyDescent="0.3">
      <c r="A457" s="5" t="s">
        <v>371</v>
      </c>
    </row>
    <row r="459" spans="1:5" x14ac:dyDescent="0.3">
      <c r="A459" t="s">
        <v>376</v>
      </c>
    </row>
    <row r="460" spans="1:5" x14ac:dyDescent="0.3">
      <c r="A460" t="s">
        <v>374</v>
      </c>
      <c r="C460">
        <f>PI()*3</f>
        <v>9.4247779607693793</v>
      </c>
      <c r="D460" t="s">
        <v>6</v>
      </c>
    </row>
    <row r="461" spans="1:5" x14ac:dyDescent="0.3">
      <c r="A461" t="s">
        <v>375</v>
      </c>
      <c r="C461">
        <v>2</v>
      </c>
      <c r="D461" t="s">
        <v>6</v>
      </c>
    </row>
    <row r="462" spans="1:5" x14ac:dyDescent="0.3">
      <c r="A462" t="s">
        <v>373</v>
      </c>
      <c r="C462" s="6">
        <v>0</v>
      </c>
      <c r="D462" s="6" t="s">
        <v>0</v>
      </c>
    </row>
    <row r="463" spans="1:5" x14ac:dyDescent="0.3">
      <c r="A463" t="s">
        <v>145</v>
      </c>
      <c r="C463">
        <f>ROUNDUP(C460*C461*C462,0)</f>
        <v>0</v>
      </c>
      <c r="D463" t="s">
        <v>11</v>
      </c>
    </row>
    <row r="466" spans="1:4" x14ac:dyDescent="0.3">
      <c r="A466" t="s">
        <v>377</v>
      </c>
    </row>
    <row r="468" spans="1:4" x14ac:dyDescent="0.3">
      <c r="A468" t="s">
        <v>383</v>
      </c>
      <c r="C468">
        <f>PI()*3</f>
        <v>9.4247779607693793</v>
      </c>
      <c r="D468" t="s">
        <v>6</v>
      </c>
    </row>
    <row r="469" spans="1:4" x14ac:dyDescent="0.3">
      <c r="A469" t="s">
        <v>387</v>
      </c>
      <c r="C469">
        <v>17</v>
      </c>
      <c r="D469" t="s">
        <v>6</v>
      </c>
    </row>
    <row r="470" spans="1:4" x14ac:dyDescent="0.3">
      <c r="A470" t="s">
        <v>385</v>
      </c>
      <c r="C470">
        <v>10</v>
      </c>
      <c r="D470" t="s">
        <v>6</v>
      </c>
    </row>
    <row r="471" spans="1:4" x14ac:dyDescent="0.3">
      <c r="A471" t="s">
        <v>386</v>
      </c>
      <c r="C471">
        <v>14</v>
      </c>
      <c r="D471" t="s">
        <v>6</v>
      </c>
    </row>
    <row r="472" spans="1:4" x14ac:dyDescent="0.3">
      <c r="C472">
        <f>C468*(C469+C470+C471)</f>
        <v>386.41589639154455</v>
      </c>
      <c r="D472" t="s">
        <v>11</v>
      </c>
    </row>
    <row r="474" spans="1:4" x14ac:dyDescent="0.3">
      <c r="A474" s="172" t="s">
        <v>384</v>
      </c>
      <c r="C474">
        <f>6+3+6+3</f>
        <v>18</v>
      </c>
      <c r="D474" t="s">
        <v>6</v>
      </c>
    </row>
    <row r="475" spans="1:4" x14ac:dyDescent="0.3">
      <c r="A475" t="s">
        <v>387</v>
      </c>
      <c r="C475">
        <v>0</v>
      </c>
      <c r="D475" t="s">
        <v>6</v>
      </c>
    </row>
    <row r="476" spans="1:4" x14ac:dyDescent="0.3">
      <c r="A476" t="s">
        <v>385</v>
      </c>
      <c r="C476">
        <v>0</v>
      </c>
      <c r="D476" t="s">
        <v>6</v>
      </c>
    </row>
    <row r="477" spans="1:4" x14ac:dyDescent="0.3">
      <c r="A477" t="s">
        <v>386</v>
      </c>
      <c r="C477">
        <v>0</v>
      </c>
      <c r="D477" t="s">
        <v>6</v>
      </c>
    </row>
    <row r="478" spans="1:4" x14ac:dyDescent="0.3">
      <c r="A478" t="s">
        <v>145</v>
      </c>
      <c r="C478">
        <f>C474*(C475+C476+C477)</f>
        <v>0</v>
      </c>
      <c r="D478" t="s">
        <v>11</v>
      </c>
    </row>
    <row r="481" spans="1:4" x14ac:dyDescent="0.3">
      <c r="A481" t="s">
        <v>388</v>
      </c>
      <c r="C481">
        <f>ROUNDUP(C463+C472+C478,0)</f>
        <v>387</v>
      </c>
      <c r="D481" t="s">
        <v>11</v>
      </c>
    </row>
    <row r="491" spans="1:4" x14ac:dyDescent="0.3">
      <c r="A491" s="5" t="s">
        <v>395</v>
      </c>
    </row>
    <row r="492" spans="1:4" x14ac:dyDescent="0.3">
      <c r="A492" t="s">
        <v>399</v>
      </c>
      <c r="B492">
        <v>2</v>
      </c>
      <c r="C492" t="s">
        <v>0</v>
      </c>
    </row>
    <row r="493" spans="1:4" x14ac:dyDescent="0.3">
      <c r="A493" t="s">
        <v>396</v>
      </c>
      <c r="B493">
        <v>2</v>
      </c>
      <c r="C493" t="s">
        <v>0</v>
      </c>
    </row>
    <row r="494" spans="1:4" x14ac:dyDescent="0.3">
      <c r="A494" t="s">
        <v>397</v>
      </c>
      <c r="B494">
        <v>2</v>
      </c>
      <c r="C494" t="s">
        <v>0</v>
      </c>
    </row>
    <row r="495" spans="1:4" x14ac:dyDescent="0.3">
      <c r="A495" t="s">
        <v>398</v>
      </c>
      <c r="B495">
        <v>2</v>
      </c>
      <c r="C495" t="s">
        <v>0</v>
      </c>
    </row>
    <row r="496" spans="1:4" x14ac:dyDescent="0.3">
      <c r="A496" t="s">
        <v>400</v>
      </c>
      <c r="B496" s="6">
        <v>2</v>
      </c>
      <c r="C496" s="6" t="s">
        <v>0</v>
      </c>
    </row>
    <row r="497" spans="2:3" x14ac:dyDescent="0.3">
      <c r="B497">
        <f>SUM(B492:B496)</f>
        <v>10</v>
      </c>
      <c r="C497" t="s">
        <v>0</v>
      </c>
    </row>
  </sheetData>
  <mergeCells count="16">
    <mergeCell ref="AN329:AN330"/>
    <mergeCell ref="AY329:AY330"/>
    <mergeCell ref="BJ329:BJ330"/>
    <mergeCell ref="AN322:AN324"/>
    <mergeCell ref="AY322:AY324"/>
    <mergeCell ref="BJ322:BJ324"/>
    <mergeCell ref="AD326:AD327"/>
    <mergeCell ref="AN326:AN327"/>
    <mergeCell ref="AY326:AY327"/>
    <mergeCell ref="BJ326:BJ327"/>
    <mergeCell ref="A32:B33"/>
    <mergeCell ref="A48:B49"/>
    <mergeCell ref="A294:K296"/>
    <mergeCell ref="AM303:AS303"/>
    <mergeCell ref="AX303:BD303"/>
    <mergeCell ref="BI303:BO303"/>
  </mergeCells>
  <phoneticPr fontId="18" type="noConversion"/>
  <pageMargins left="0.7" right="0.7" top="0.75" bottom="0.75" header="0.3" footer="0.3"/>
  <pageSetup paperSize="17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7543-D4E8-4DFA-A844-EA277C4F6B46}">
  <dimension ref="A1:J35"/>
  <sheetViews>
    <sheetView workbookViewId="0">
      <selection sqref="A1:J33"/>
    </sheetView>
  </sheetViews>
  <sheetFormatPr defaultRowHeight="14.4" x14ac:dyDescent="0.3"/>
  <cols>
    <col min="1" max="4" width="12.33203125" customWidth="1"/>
    <col min="5" max="5" width="127.77734375" customWidth="1"/>
    <col min="6" max="7" width="12.33203125" customWidth="1"/>
    <col min="8" max="8" width="18.77734375" customWidth="1"/>
    <col min="9" max="10" width="12.33203125" customWidth="1"/>
  </cols>
  <sheetData>
    <row r="1" spans="1:10" ht="15" thickBot="1" x14ac:dyDescent="0.35">
      <c r="A1" s="183"/>
      <c r="B1" s="184"/>
      <c r="C1" s="184"/>
      <c r="D1" s="184"/>
      <c r="E1" s="118" t="s">
        <v>406</v>
      </c>
      <c r="F1" s="184" t="s">
        <v>402</v>
      </c>
      <c r="G1" s="184"/>
      <c r="H1" s="184"/>
      <c r="I1" s="184"/>
      <c r="J1" s="185"/>
    </row>
    <row r="2" spans="1:10" ht="15" thickBot="1" x14ac:dyDescent="0.35">
      <c r="A2" s="119" t="s">
        <v>264</v>
      </c>
      <c r="B2" s="120" t="s">
        <v>265</v>
      </c>
      <c r="C2" s="121" t="s">
        <v>266</v>
      </c>
      <c r="D2" s="122" t="s">
        <v>267</v>
      </c>
      <c r="E2" s="123" t="s">
        <v>268</v>
      </c>
      <c r="F2" s="124" t="s">
        <v>269</v>
      </c>
      <c r="G2" s="121" t="s">
        <v>270</v>
      </c>
      <c r="H2" s="121" t="s">
        <v>271</v>
      </c>
      <c r="I2" s="121" t="s">
        <v>272</v>
      </c>
      <c r="J2" s="125" t="s">
        <v>273</v>
      </c>
    </row>
    <row r="3" spans="1:10" x14ac:dyDescent="0.3">
      <c r="A3" s="126">
        <v>202</v>
      </c>
      <c r="B3" s="127">
        <v>11203</v>
      </c>
      <c r="C3" s="128" t="str">
        <f t="shared" ref="C3" si="0">IF(D3="LUMP","LS",IF(SUM(F3:I3)=0,"",(SUM(F3:I3))))</f>
        <v>LS</v>
      </c>
      <c r="D3" s="129" t="s">
        <v>274</v>
      </c>
      <c r="E3" s="130" t="s">
        <v>275</v>
      </c>
      <c r="F3" s="128" t="s">
        <v>274</v>
      </c>
      <c r="G3" s="128"/>
      <c r="H3" s="128" t="s">
        <v>274</v>
      </c>
      <c r="I3" s="128"/>
      <c r="J3" s="131">
        <v>11</v>
      </c>
    </row>
    <row r="4" spans="1:10" x14ac:dyDescent="0.3">
      <c r="A4" s="132" t="s">
        <v>320</v>
      </c>
      <c r="B4" s="133">
        <v>70000</v>
      </c>
      <c r="C4" s="134">
        <f t="shared" ref="C4" si="1">IF(D4="LUMP","LS",IF(SUM(F4:I4)=0,"",(SUM(F4:I4))))</f>
        <v>12</v>
      </c>
      <c r="D4" s="135" t="s">
        <v>6</v>
      </c>
      <c r="E4" s="136" t="s">
        <v>410</v>
      </c>
      <c r="F4" s="134">
        <v>12</v>
      </c>
      <c r="G4" s="134"/>
      <c r="H4" s="137"/>
      <c r="I4" s="134"/>
      <c r="J4" s="138">
        <v>12</v>
      </c>
    </row>
    <row r="5" spans="1:10" x14ac:dyDescent="0.3">
      <c r="A5" s="126">
        <v>510</v>
      </c>
      <c r="B5" s="127">
        <v>10001</v>
      </c>
      <c r="C5" s="134">
        <f t="shared" ref="C5:C6" si="2">IF(D5="LUMP","LS",IF(SUM(F5:I5)=0,"",(SUM(F5:I5))))</f>
        <v>20</v>
      </c>
      <c r="D5" s="129" t="s">
        <v>0</v>
      </c>
      <c r="E5" s="130" t="s">
        <v>414</v>
      </c>
      <c r="F5" s="128">
        <v>20</v>
      </c>
      <c r="G5" s="128"/>
      <c r="H5" s="128"/>
      <c r="I5" s="128"/>
      <c r="J5" s="131">
        <v>12</v>
      </c>
    </row>
    <row r="6" spans="1:10" x14ac:dyDescent="0.3">
      <c r="A6" s="126">
        <v>511</v>
      </c>
      <c r="B6" s="127">
        <v>81300</v>
      </c>
      <c r="C6" s="134">
        <f t="shared" si="2"/>
        <v>10</v>
      </c>
      <c r="D6" s="129" t="s">
        <v>0</v>
      </c>
      <c r="E6" s="130" t="s">
        <v>444</v>
      </c>
      <c r="F6" s="128">
        <v>10</v>
      </c>
      <c r="G6" s="128"/>
      <c r="H6" s="128"/>
      <c r="I6" s="128"/>
      <c r="J6" s="131"/>
    </row>
    <row r="7" spans="1:10" x14ac:dyDescent="0.3">
      <c r="A7" s="146">
        <v>512</v>
      </c>
      <c r="B7" s="133">
        <v>10100</v>
      </c>
      <c r="C7" s="134">
        <f t="shared" ref="C7" si="3">IF(D7="LUMP","LS",IF(SUM(F7:I7)=0,"",(SUM(F7:I7))))</f>
        <v>1267</v>
      </c>
      <c r="D7" s="135" t="s">
        <v>279</v>
      </c>
      <c r="E7" s="136" t="s">
        <v>408</v>
      </c>
      <c r="F7" s="134">
        <v>192</v>
      </c>
      <c r="G7" s="134">
        <v>361</v>
      </c>
      <c r="H7" s="134">
        <v>714</v>
      </c>
      <c r="I7" s="134"/>
      <c r="J7" s="131"/>
    </row>
    <row r="8" spans="1:10" hidden="1" x14ac:dyDescent="0.3">
      <c r="A8" s="146">
        <v>512</v>
      </c>
      <c r="B8" s="133">
        <v>10400</v>
      </c>
      <c r="C8" s="134">
        <f t="shared" ref="C8:C12" si="4">IF(D8="LUMP","LS",IF(SUM(F8:I8)=0,"",(SUM(F8:I8))))</f>
        <v>1362</v>
      </c>
      <c r="D8" s="135" t="s">
        <v>279</v>
      </c>
      <c r="E8" s="136" t="s">
        <v>350</v>
      </c>
      <c r="F8" s="134"/>
      <c r="G8" s="134"/>
      <c r="H8" s="134">
        <v>1362</v>
      </c>
      <c r="I8" s="134"/>
      <c r="J8" s="131"/>
    </row>
    <row r="9" spans="1:10" hidden="1" x14ac:dyDescent="0.3">
      <c r="A9" s="147" t="s">
        <v>280</v>
      </c>
      <c r="B9" s="133" t="s">
        <v>281</v>
      </c>
      <c r="C9" s="134">
        <f t="shared" si="4"/>
        <v>1575</v>
      </c>
      <c r="D9" s="135" t="s">
        <v>279</v>
      </c>
      <c r="E9" s="136" t="s">
        <v>282</v>
      </c>
      <c r="F9" s="134">
        <v>331</v>
      </c>
      <c r="G9" s="134"/>
      <c r="H9" s="134">
        <v>1244</v>
      </c>
      <c r="I9" s="134"/>
      <c r="J9" s="138"/>
    </row>
    <row r="10" spans="1:10" x14ac:dyDescent="0.3">
      <c r="A10" s="147">
        <v>512</v>
      </c>
      <c r="B10" s="133">
        <v>74000</v>
      </c>
      <c r="C10" s="134">
        <f t="shared" si="4"/>
        <v>1267</v>
      </c>
      <c r="D10" s="135" t="s">
        <v>279</v>
      </c>
      <c r="E10" s="136" t="s">
        <v>282</v>
      </c>
      <c r="F10" s="134">
        <v>192</v>
      </c>
      <c r="G10" s="134">
        <v>361</v>
      </c>
      <c r="H10" s="134">
        <v>714</v>
      </c>
      <c r="I10" s="134"/>
      <c r="J10" s="138"/>
    </row>
    <row r="11" spans="1:10" x14ac:dyDescent="0.3">
      <c r="A11" s="147">
        <v>513</v>
      </c>
      <c r="B11" s="133">
        <v>10200</v>
      </c>
      <c r="C11" s="134">
        <f t="shared" si="4"/>
        <v>760</v>
      </c>
      <c r="D11" s="135" t="s">
        <v>434</v>
      </c>
      <c r="E11" s="136" t="s">
        <v>435</v>
      </c>
      <c r="F11" s="134"/>
      <c r="G11" s="134"/>
      <c r="H11" s="134">
        <v>760</v>
      </c>
      <c r="I11" s="134"/>
      <c r="J11" s="138"/>
    </row>
    <row r="12" spans="1:10" x14ac:dyDescent="0.3">
      <c r="A12" s="132" t="s">
        <v>283</v>
      </c>
      <c r="B12" s="133">
        <v>95020</v>
      </c>
      <c r="C12" s="128" t="str">
        <f t="shared" si="4"/>
        <v>LS</v>
      </c>
      <c r="D12" s="135" t="s">
        <v>274</v>
      </c>
      <c r="E12" s="136" t="s">
        <v>413</v>
      </c>
      <c r="F12" s="134"/>
      <c r="G12" s="134"/>
      <c r="H12" s="137" t="s">
        <v>274</v>
      </c>
      <c r="I12" s="134"/>
      <c r="J12" s="138">
        <v>12</v>
      </c>
    </row>
    <row r="13" spans="1:10" hidden="1" x14ac:dyDescent="0.3">
      <c r="A13" s="162" t="s">
        <v>283</v>
      </c>
      <c r="B13" s="148" t="s">
        <v>284</v>
      </c>
      <c r="C13" s="134">
        <f t="shared" ref="C13:C15" si="5">IF(D13="LUMP","LS",IF(SUM(F13:I13)=0,"",(SUM(F13:I13))))</f>
        <v>350</v>
      </c>
      <c r="D13" s="134" t="s">
        <v>0</v>
      </c>
      <c r="E13" s="149" t="s">
        <v>285</v>
      </c>
      <c r="F13" s="150"/>
      <c r="G13" s="151"/>
      <c r="H13" s="151">
        <v>350</v>
      </c>
      <c r="I13" s="151"/>
      <c r="J13" s="131" t="s">
        <v>276</v>
      </c>
    </row>
    <row r="14" spans="1:10" hidden="1" x14ac:dyDescent="0.3">
      <c r="A14" s="147">
        <v>513</v>
      </c>
      <c r="B14" s="133">
        <v>95030</v>
      </c>
      <c r="C14" s="134">
        <f t="shared" si="5"/>
        <v>6</v>
      </c>
      <c r="D14" s="135" t="s">
        <v>0</v>
      </c>
      <c r="E14" s="136" t="s">
        <v>286</v>
      </c>
      <c r="F14" s="134"/>
      <c r="G14" s="134"/>
      <c r="H14" s="134">
        <v>6</v>
      </c>
      <c r="I14" s="134"/>
      <c r="J14" s="131" t="s">
        <v>287</v>
      </c>
    </row>
    <row r="15" spans="1:10" hidden="1" x14ac:dyDescent="0.3">
      <c r="A15" s="147">
        <v>513</v>
      </c>
      <c r="B15" s="133">
        <v>95030</v>
      </c>
      <c r="C15" s="134">
        <f t="shared" si="5"/>
        <v>6</v>
      </c>
      <c r="D15" s="135" t="s">
        <v>0</v>
      </c>
      <c r="E15" s="136" t="s">
        <v>288</v>
      </c>
      <c r="F15" s="134"/>
      <c r="G15" s="134"/>
      <c r="H15" s="134">
        <v>6</v>
      </c>
      <c r="I15" s="134"/>
      <c r="J15" s="131" t="s">
        <v>276</v>
      </c>
    </row>
    <row r="16" spans="1:10" hidden="1" x14ac:dyDescent="0.3">
      <c r="A16" s="132"/>
      <c r="B16" s="133"/>
      <c r="C16" s="134"/>
      <c r="D16" s="135"/>
      <c r="E16" s="136"/>
      <c r="F16" s="134"/>
      <c r="G16" s="134"/>
      <c r="H16" s="137"/>
      <c r="I16" s="134"/>
      <c r="J16" s="138"/>
    </row>
    <row r="17" spans="1:10" x14ac:dyDescent="0.3">
      <c r="A17" s="132"/>
      <c r="B17" s="133"/>
      <c r="C17" s="134"/>
      <c r="D17" s="135"/>
      <c r="E17" s="136"/>
      <c r="F17" s="134"/>
      <c r="G17" s="134"/>
      <c r="H17" s="137"/>
      <c r="I17" s="134"/>
      <c r="J17" s="138"/>
    </row>
    <row r="18" spans="1:10" x14ac:dyDescent="0.3">
      <c r="A18" s="132" t="s">
        <v>289</v>
      </c>
      <c r="B18" s="133">
        <v>50</v>
      </c>
      <c r="C18" s="134">
        <f t="shared" ref="C18:C32" si="6">IF(D18="LUMP","LS",IF(SUM(F18:I18)=0,"",(SUM(F18:I18))))</f>
        <v>20901</v>
      </c>
      <c r="D18" s="135" t="s">
        <v>11</v>
      </c>
      <c r="E18" s="136" t="s">
        <v>124</v>
      </c>
      <c r="F18" s="134"/>
      <c r="G18" s="137"/>
      <c r="H18" s="137">
        <v>20901</v>
      </c>
      <c r="I18" s="134"/>
      <c r="J18" s="138"/>
    </row>
    <row r="19" spans="1:10" x14ac:dyDescent="0.3">
      <c r="A19" s="132" t="s">
        <v>289</v>
      </c>
      <c r="B19" s="133">
        <v>56</v>
      </c>
      <c r="C19" s="134">
        <f t="shared" si="6"/>
        <v>20901</v>
      </c>
      <c r="D19" s="135" t="s">
        <v>11</v>
      </c>
      <c r="E19" s="136" t="s">
        <v>290</v>
      </c>
      <c r="F19" s="134"/>
      <c r="G19" s="137"/>
      <c r="H19" s="137">
        <v>20901</v>
      </c>
      <c r="I19" s="134"/>
      <c r="J19" s="138"/>
    </row>
    <row r="20" spans="1:10" x14ac:dyDescent="0.3">
      <c r="A20" s="132" t="s">
        <v>289</v>
      </c>
      <c r="B20" s="133">
        <v>60</v>
      </c>
      <c r="C20" s="134">
        <f t="shared" si="6"/>
        <v>20901</v>
      </c>
      <c r="D20" s="135" t="s">
        <v>11</v>
      </c>
      <c r="E20" s="136" t="s">
        <v>291</v>
      </c>
      <c r="F20" s="134"/>
      <c r="G20" s="137"/>
      <c r="H20" s="137">
        <v>20901</v>
      </c>
      <c r="I20" s="134"/>
      <c r="J20" s="138"/>
    </row>
    <row r="21" spans="1:10" x14ac:dyDescent="0.3">
      <c r="A21" s="132" t="s">
        <v>289</v>
      </c>
      <c r="B21" s="133">
        <v>66</v>
      </c>
      <c r="C21" s="134">
        <f t="shared" si="6"/>
        <v>20901</v>
      </c>
      <c r="D21" s="135" t="s">
        <v>11</v>
      </c>
      <c r="E21" s="136" t="s">
        <v>292</v>
      </c>
      <c r="F21" s="134"/>
      <c r="G21" s="137"/>
      <c r="H21" s="137">
        <v>20901</v>
      </c>
      <c r="I21" s="134"/>
      <c r="J21" s="138"/>
    </row>
    <row r="22" spans="1:10" x14ac:dyDescent="0.3">
      <c r="A22" s="132" t="s">
        <v>289</v>
      </c>
      <c r="B22" s="133">
        <v>504</v>
      </c>
      <c r="C22" s="134">
        <f t="shared" si="6"/>
        <v>25</v>
      </c>
      <c r="D22" s="135" t="s">
        <v>293</v>
      </c>
      <c r="E22" s="136" t="s">
        <v>107</v>
      </c>
      <c r="F22" s="134"/>
      <c r="G22" s="137"/>
      <c r="H22" s="137">
        <v>25</v>
      </c>
      <c r="I22" s="134"/>
      <c r="J22" s="138"/>
    </row>
    <row r="23" spans="1:10" x14ac:dyDescent="0.3">
      <c r="A23" s="132" t="s">
        <v>289</v>
      </c>
      <c r="B23" s="133">
        <v>10000</v>
      </c>
      <c r="C23" s="134">
        <f t="shared" si="6"/>
        <v>9</v>
      </c>
      <c r="D23" s="135" t="s">
        <v>0</v>
      </c>
      <c r="E23" s="136" t="s">
        <v>102</v>
      </c>
      <c r="F23" s="134"/>
      <c r="G23" s="134"/>
      <c r="H23" s="137">
        <v>9</v>
      </c>
      <c r="I23" s="134"/>
      <c r="J23" s="138"/>
    </row>
    <row r="24" spans="1:10" x14ac:dyDescent="0.3">
      <c r="A24" s="132"/>
      <c r="B24" s="133"/>
      <c r="C24" s="134"/>
      <c r="D24" s="135"/>
      <c r="E24" s="136"/>
      <c r="F24" s="134"/>
      <c r="G24" s="134"/>
      <c r="H24" s="137"/>
      <c r="I24" s="134"/>
      <c r="J24" s="138"/>
    </row>
    <row r="25" spans="1:10" hidden="1" x14ac:dyDescent="0.3">
      <c r="A25" s="132" t="s">
        <v>294</v>
      </c>
      <c r="B25" s="133">
        <v>1300</v>
      </c>
      <c r="C25" s="134">
        <f t="shared" ref="C25:C26" si="7">IF(D25="LUMP","LS",IF(SUM(F25:I25)=0,"",(SUM(F25:I25))))</f>
        <v>224</v>
      </c>
      <c r="D25" s="135" t="s">
        <v>6</v>
      </c>
      <c r="E25" s="136" t="s">
        <v>300</v>
      </c>
      <c r="F25" s="134"/>
      <c r="G25" s="134"/>
      <c r="H25" s="137">
        <v>224</v>
      </c>
      <c r="I25" s="134"/>
      <c r="J25" s="138"/>
    </row>
    <row r="26" spans="1:10" x14ac:dyDescent="0.3">
      <c r="A26" s="132" t="s">
        <v>294</v>
      </c>
      <c r="B26" s="133">
        <v>44101</v>
      </c>
      <c r="C26" s="134">
        <f t="shared" si="7"/>
        <v>10</v>
      </c>
      <c r="D26" s="135" t="s">
        <v>0</v>
      </c>
      <c r="E26" s="136" t="s">
        <v>343</v>
      </c>
      <c r="F26" s="134"/>
      <c r="G26" s="134"/>
      <c r="H26" s="137">
        <v>10</v>
      </c>
      <c r="I26" s="134"/>
      <c r="J26" s="138"/>
    </row>
    <row r="27" spans="1:10" x14ac:dyDescent="0.3">
      <c r="A27" s="146"/>
      <c r="B27" s="133"/>
      <c r="C27" s="134" t="str">
        <f t="shared" si="6"/>
        <v/>
      </c>
      <c r="D27" s="154"/>
      <c r="E27" s="136" t="s">
        <v>344</v>
      </c>
      <c r="F27" s="134"/>
      <c r="G27" s="134"/>
      <c r="H27" s="134"/>
      <c r="I27" s="134"/>
      <c r="J27" s="138"/>
    </row>
    <row r="28" spans="1:10" x14ac:dyDescent="0.3">
      <c r="A28" s="126">
        <v>516</v>
      </c>
      <c r="B28" s="128">
        <v>47001</v>
      </c>
      <c r="C28" s="128" t="str">
        <f t="shared" si="6"/>
        <v>LS</v>
      </c>
      <c r="D28" s="128" t="s">
        <v>274</v>
      </c>
      <c r="E28" s="152" t="s">
        <v>299</v>
      </c>
      <c r="F28" s="128"/>
      <c r="G28" s="128"/>
      <c r="H28" s="128" t="s">
        <v>274</v>
      </c>
      <c r="I28" s="128"/>
      <c r="J28" s="153">
        <v>12</v>
      </c>
    </row>
    <row r="29" spans="1:10" x14ac:dyDescent="0.3">
      <c r="A29" s="126">
        <v>519</v>
      </c>
      <c r="B29" s="169" t="s">
        <v>379</v>
      </c>
      <c r="C29" s="134">
        <f t="shared" si="6"/>
        <v>321</v>
      </c>
      <c r="D29" s="128" t="s">
        <v>11</v>
      </c>
      <c r="E29" s="152" t="s">
        <v>372</v>
      </c>
      <c r="F29" s="128"/>
      <c r="G29" s="128">
        <v>321</v>
      </c>
      <c r="H29" s="128"/>
      <c r="I29" s="128"/>
      <c r="J29" s="153">
        <v>12</v>
      </c>
    </row>
    <row r="30" spans="1:10" x14ac:dyDescent="0.3">
      <c r="A30" s="126">
        <v>519</v>
      </c>
      <c r="B30" s="128">
        <v>11101</v>
      </c>
      <c r="C30" s="128">
        <f t="shared" si="6"/>
        <v>130</v>
      </c>
      <c r="D30" s="128" t="s">
        <v>11</v>
      </c>
      <c r="E30" s="9" t="s">
        <v>349</v>
      </c>
      <c r="F30" s="128">
        <v>35</v>
      </c>
      <c r="G30" s="128">
        <v>95</v>
      </c>
      <c r="H30" s="128"/>
      <c r="I30" s="128"/>
      <c r="J30" s="153">
        <v>12</v>
      </c>
    </row>
    <row r="31" spans="1:10" x14ac:dyDescent="0.3">
      <c r="A31" s="146">
        <v>519</v>
      </c>
      <c r="B31" s="134">
        <v>12300</v>
      </c>
      <c r="C31" s="134">
        <f t="shared" si="6"/>
        <v>5</v>
      </c>
      <c r="D31" s="134" t="s">
        <v>279</v>
      </c>
      <c r="E31" s="9" t="s">
        <v>298</v>
      </c>
      <c r="F31" s="134">
        <v>5</v>
      </c>
      <c r="G31" s="134"/>
      <c r="H31" s="134"/>
      <c r="I31" s="134"/>
      <c r="J31" s="138"/>
    </row>
    <row r="32" spans="1:10" x14ac:dyDescent="0.3">
      <c r="A32" s="146">
        <v>844</v>
      </c>
      <c r="B32" s="134">
        <v>20001</v>
      </c>
      <c r="C32" s="134">
        <f t="shared" si="6"/>
        <v>6</v>
      </c>
      <c r="D32" s="134" t="s">
        <v>0</v>
      </c>
      <c r="E32" s="9" t="s">
        <v>428</v>
      </c>
      <c r="F32" s="9"/>
      <c r="G32" s="134">
        <v>6</v>
      </c>
      <c r="H32" s="9"/>
      <c r="I32" s="9"/>
      <c r="J32" s="138">
        <v>12</v>
      </c>
    </row>
    <row r="33" spans="1:10" ht="15" thickBot="1" x14ac:dyDescent="0.35">
      <c r="A33" s="163"/>
      <c r="B33" s="164"/>
      <c r="C33" s="164"/>
      <c r="D33" s="164"/>
      <c r="E33" s="164"/>
      <c r="F33" s="164"/>
      <c r="G33" s="164"/>
      <c r="H33" s="164"/>
      <c r="I33" s="164"/>
      <c r="J33" s="165"/>
    </row>
    <row r="35" spans="1:10" x14ac:dyDescent="0.3">
      <c r="E35" s="167"/>
    </row>
  </sheetData>
  <mergeCells count="2">
    <mergeCell ref="A1:D1"/>
    <mergeCell ref="F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24D6-7572-40D2-B8BB-13988F92FBF0}">
  <dimension ref="A1:BR477"/>
  <sheetViews>
    <sheetView workbookViewId="0">
      <selection activeCell="D17" sqref="D17"/>
    </sheetView>
  </sheetViews>
  <sheetFormatPr defaultRowHeight="14.4" x14ac:dyDescent="0.3"/>
  <cols>
    <col min="1" max="1" width="12.21875" customWidth="1"/>
    <col min="2" max="2" width="12.33203125" customWidth="1"/>
    <col min="3" max="3" width="21.5546875" customWidth="1"/>
    <col min="4" max="4" width="22" customWidth="1"/>
    <col min="5" max="5" width="10.6640625" customWidth="1"/>
    <col min="9" max="9" width="12.88671875" customWidth="1"/>
    <col min="10" max="10" width="10.44140625" customWidth="1"/>
    <col min="12" max="12" width="12.88671875" customWidth="1"/>
    <col min="13" max="13" width="12.109375" customWidth="1"/>
    <col min="14" max="14" width="14.44140625" customWidth="1"/>
    <col min="15" max="15" width="14" customWidth="1"/>
    <col min="16" max="28" width="12.88671875" customWidth="1"/>
    <col min="30" max="31" width="13.44140625" customWidth="1"/>
    <col min="32" max="32" width="11" customWidth="1"/>
    <col min="40" max="40" width="14.44140625" customWidth="1"/>
    <col min="51" max="51" width="17.33203125" customWidth="1"/>
    <col min="62" max="62" width="16.5546875" customWidth="1"/>
  </cols>
  <sheetData>
    <row r="1" spans="1:5" x14ac:dyDescent="0.3">
      <c r="A1" s="178" t="s">
        <v>409</v>
      </c>
    </row>
    <row r="3" spans="1:5" x14ac:dyDescent="0.3">
      <c r="A3" t="s">
        <v>411</v>
      </c>
      <c r="C3">
        <v>6</v>
      </c>
      <c r="D3" t="s">
        <v>6</v>
      </c>
      <c r="E3" t="s">
        <v>416</v>
      </c>
    </row>
    <row r="4" spans="1:5" x14ac:dyDescent="0.3">
      <c r="A4" t="s">
        <v>216</v>
      </c>
      <c r="C4" s="6">
        <v>6</v>
      </c>
      <c r="D4" s="6" t="s">
        <v>6</v>
      </c>
      <c r="E4" t="s">
        <v>416</v>
      </c>
    </row>
    <row r="5" spans="1:5" x14ac:dyDescent="0.3">
      <c r="C5">
        <f>C3+C4</f>
        <v>12</v>
      </c>
      <c r="D5" t="s">
        <v>6</v>
      </c>
    </row>
    <row r="7" spans="1:5" x14ac:dyDescent="0.3">
      <c r="A7" s="2" t="s">
        <v>219</v>
      </c>
    </row>
    <row r="9" spans="1:5" x14ac:dyDescent="0.3">
      <c r="A9" t="s">
        <v>218</v>
      </c>
      <c r="C9">
        <v>0</v>
      </c>
    </row>
    <row r="10" spans="1:5" x14ac:dyDescent="0.3">
      <c r="A10" t="s">
        <v>217</v>
      </c>
      <c r="C10">
        <v>10</v>
      </c>
    </row>
    <row r="11" spans="1:5" x14ac:dyDescent="0.3">
      <c r="A11" t="s">
        <v>216</v>
      </c>
      <c r="C11" s="6">
        <v>10</v>
      </c>
    </row>
    <row r="12" spans="1:5" x14ac:dyDescent="0.3">
      <c r="C12" s="3">
        <f>SUM(C9:C11)</f>
        <v>20</v>
      </c>
      <c r="D12" t="s">
        <v>0</v>
      </c>
    </row>
    <row r="15" spans="1:5" x14ac:dyDescent="0.3">
      <c r="A15" s="2" t="s">
        <v>445</v>
      </c>
    </row>
    <row r="16" spans="1:5" x14ac:dyDescent="0.3">
      <c r="A16" t="s">
        <v>24</v>
      </c>
      <c r="C16">
        <v>5</v>
      </c>
      <c r="D16" t="s">
        <v>0</v>
      </c>
    </row>
    <row r="18" spans="1:5" x14ac:dyDescent="0.3">
      <c r="A18" t="s">
        <v>23</v>
      </c>
      <c r="C18" s="6">
        <v>5</v>
      </c>
      <c r="D18" s="6" t="s">
        <v>0</v>
      </c>
    </row>
    <row r="19" spans="1:5" x14ac:dyDescent="0.3">
      <c r="C19" s="3">
        <f>SUM(C16:C18)</f>
        <v>10</v>
      </c>
      <c r="D19" s="3" t="s">
        <v>0</v>
      </c>
    </row>
    <row r="23" spans="1:5" x14ac:dyDescent="0.3">
      <c r="A23" s="2" t="s">
        <v>215</v>
      </c>
    </row>
    <row r="24" spans="1:5" x14ac:dyDescent="0.3">
      <c r="A24" s="5"/>
    </row>
    <row r="25" spans="1:5" x14ac:dyDescent="0.3">
      <c r="A25" s="1" t="s">
        <v>201</v>
      </c>
    </row>
    <row r="26" spans="1:5" x14ac:dyDescent="0.3">
      <c r="A26" t="s">
        <v>200</v>
      </c>
      <c r="D26">
        <v>4.37</v>
      </c>
      <c r="E26" t="s">
        <v>11</v>
      </c>
    </row>
    <row r="27" spans="1:5" x14ac:dyDescent="0.3">
      <c r="A27" t="s">
        <v>199</v>
      </c>
      <c r="D27">
        <v>876.2</v>
      </c>
      <c r="E27" t="s">
        <v>6</v>
      </c>
    </row>
    <row r="28" spans="1:5" x14ac:dyDescent="0.3">
      <c r="A28" t="s">
        <v>198</v>
      </c>
      <c r="D28">
        <v>0</v>
      </c>
      <c r="E28" t="s">
        <v>0</v>
      </c>
    </row>
    <row r="29" spans="1:5" x14ac:dyDescent="0.3">
      <c r="A29" t="s">
        <v>189</v>
      </c>
      <c r="D29">
        <f>D26*D27*D28</f>
        <v>0</v>
      </c>
      <c r="E29" t="s">
        <v>214</v>
      </c>
    </row>
    <row r="30" spans="1:5" x14ac:dyDescent="0.3">
      <c r="D30">
        <f>ROUNDUP(D29/27,0)</f>
        <v>0</v>
      </c>
      <c r="E30" t="s">
        <v>187</v>
      </c>
    </row>
    <row r="32" spans="1:5" x14ac:dyDescent="0.3">
      <c r="A32" s="1" t="s">
        <v>213</v>
      </c>
    </row>
    <row r="34" spans="1:5" x14ac:dyDescent="0.3">
      <c r="A34" t="s">
        <v>211</v>
      </c>
      <c r="D34">
        <v>0</v>
      </c>
      <c r="E34" t="s">
        <v>6</v>
      </c>
    </row>
    <row r="35" spans="1:5" x14ac:dyDescent="0.3">
      <c r="A35" t="s">
        <v>35</v>
      </c>
      <c r="D35">
        <v>42</v>
      </c>
      <c r="E35" t="s">
        <v>6</v>
      </c>
    </row>
    <row r="36" spans="1:5" x14ac:dyDescent="0.3">
      <c r="A36" t="s">
        <v>210</v>
      </c>
      <c r="D36">
        <v>9</v>
      </c>
      <c r="E36" t="s">
        <v>206</v>
      </c>
    </row>
    <row r="37" spans="1:5" x14ac:dyDescent="0.3">
      <c r="A37" t="s">
        <v>209</v>
      </c>
      <c r="D37">
        <v>2.5</v>
      </c>
      <c r="E37" t="s">
        <v>206</v>
      </c>
    </row>
    <row r="38" spans="1:5" x14ac:dyDescent="0.3">
      <c r="A38" t="s">
        <v>208</v>
      </c>
      <c r="D38">
        <v>11.55</v>
      </c>
      <c r="E38" t="s">
        <v>206</v>
      </c>
    </row>
    <row r="39" spans="1:5" x14ac:dyDescent="0.3">
      <c r="A39" s="188" t="s">
        <v>207</v>
      </c>
      <c r="B39" s="188"/>
    </row>
    <row r="40" spans="1:5" x14ac:dyDescent="0.3">
      <c r="A40" s="188"/>
      <c r="B40" s="188"/>
      <c r="D40">
        <v>2.5</v>
      </c>
      <c r="E40" t="s">
        <v>206</v>
      </c>
    </row>
    <row r="41" spans="1:5" x14ac:dyDescent="0.3">
      <c r="A41" t="s">
        <v>205</v>
      </c>
      <c r="D41">
        <v>2</v>
      </c>
      <c r="E41" t="s">
        <v>6</v>
      </c>
    </row>
    <row r="42" spans="1:5" x14ac:dyDescent="0.3">
      <c r="A42" t="s">
        <v>204</v>
      </c>
      <c r="D42">
        <v>1.333</v>
      </c>
      <c r="E42" t="s">
        <v>6</v>
      </c>
    </row>
    <row r="44" spans="1:5" x14ac:dyDescent="0.3">
      <c r="A44" t="s">
        <v>203</v>
      </c>
      <c r="D44">
        <f>(D34*D35*(D38/12))+(3*(D34*(D36/12+D42)*D37/12))+(2*(D34*(D36/12+D41+(D42/(2*12))*D40)))</f>
        <v>0</v>
      </c>
      <c r="E44" t="s">
        <v>188</v>
      </c>
    </row>
    <row r="45" spans="1:5" x14ac:dyDescent="0.3">
      <c r="D45">
        <f>D44/27</f>
        <v>0</v>
      </c>
      <c r="E45" t="s">
        <v>187</v>
      </c>
    </row>
    <row r="48" spans="1:5" x14ac:dyDescent="0.3">
      <c r="A48" s="1" t="s">
        <v>212</v>
      </c>
    </row>
    <row r="50" spans="1:5" x14ac:dyDescent="0.3">
      <c r="A50" t="s">
        <v>211</v>
      </c>
      <c r="D50">
        <v>0</v>
      </c>
      <c r="E50" t="s">
        <v>6</v>
      </c>
    </row>
    <row r="51" spans="1:5" x14ac:dyDescent="0.3">
      <c r="A51" t="s">
        <v>35</v>
      </c>
      <c r="D51">
        <v>42</v>
      </c>
      <c r="E51" t="s">
        <v>6</v>
      </c>
    </row>
    <row r="52" spans="1:5" x14ac:dyDescent="0.3">
      <c r="A52" t="s">
        <v>210</v>
      </c>
      <c r="D52">
        <v>9</v>
      </c>
      <c r="E52" t="s">
        <v>206</v>
      </c>
    </row>
    <row r="53" spans="1:5" ht="15" customHeight="1" x14ac:dyDescent="0.3">
      <c r="A53" t="s">
        <v>209</v>
      </c>
      <c r="D53">
        <v>2.5</v>
      </c>
      <c r="E53" t="s">
        <v>206</v>
      </c>
    </row>
    <row r="54" spans="1:5" x14ac:dyDescent="0.3">
      <c r="A54" t="s">
        <v>208</v>
      </c>
      <c r="D54">
        <v>11.55</v>
      </c>
      <c r="E54" t="s">
        <v>206</v>
      </c>
    </row>
    <row r="55" spans="1:5" x14ac:dyDescent="0.3">
      <c r="A55" s="188" t="s">
        <v>207</v>
      </c>
      <c r="B55" s="188"/>
    </row>
    <row r="56" spans="1:5" x14ac:dyDescent="0.3">
      <c r="A56" s="188"/>
      <c r="B56" s="188"/>
      <c r="D56">
        <v>2.5</v>
      </c>
      <c r="E56" t="s">
        <v>206</v>
      </c>
    </row>
    <row r="57" spans="1:5" x14ac:dyDescent="0.3">
      <c r="A57" t="s">
        <v>205</v>
      </c>
      <c r="D57">
        <v>2</v>
      </c>
      <c r="E57" t="s">
        <v>6</v>
      </c>
    </row>
    <row r="58" spans="1:5" x14ac:dyDescent="0.3">
      <c r="A58" t="s">
        <v>204</v>
      </c>
      <c r="D58">
        <v>1.333</v>
      </c>
      <c r="E58" t="s">
        <v>6</v>
      </c>
    </row>
    <row r="60" spans="1:5" x14ac:dyDescent="0.3">
      <c r="A60" t="s">
        <v>203</v>
      </c>
      <c r="D60">
        <f>(D50*D51*(D54/12))+(3*(D50*(D52/12+D58)*D53/12))+(2*(D50*(D52/12+D57+(D58/(2*12))*D56)))</f>
        <v>0</v>
      </c>
      <c r="E60" t="s">
        <v>188</v>
      </c>
    </row>
    <row r="61" spans="1:5" x14ac:dyDescent="0.3">
      <c r="D61">
        <f>D60/27</f>
        <v>0</v>
      </c>
      <c r="E61" t="s">
        <v>187</v>
      </c>
    </row>
    <row r="63" spans="1:5" x14ac:dyDescent="0.3">
      <c r="A63" s="3" t="s">
        <v>133</v>
      </c>
      <c r="B63" s="3"/>
      <c r="C63" s="3"/>
      <c r="D63" s="3">
        <f>ROUNDUP(D30+D45+D61,0)</f>
        <v>0</v>
      </c>
      <c r="E63" s="3" t="s">
        <v>187</v>
      </c>
    </row>
    <row r="65" spans="1:5" x14ac:dyDescent="0.3">
      <c r="A65" s="2" t="s">
        <v>202</v>
      </c>
    </row>
    <row r="67" spans="1:5" x14ac:dyDescent="0.3">
      <c r="A67" s="1" t="s">
        <v>201</v>
      </c>
    </row>
    <row r="68" spans="1:5" x14ac:dyDescent="0.3">
      <c r="A68" t="s">
        <v>200</v>
      </c>
      <c r="D68">
        <f>2*1.5</f>
        <v>3</v>
      </c>
      <c r="E68" t="s">
        <v>11</v>
      </c>
    </row>
    <row r="69" spans="1:5" x14ac:dyDescent="0.3">
      <c r="A69" t="s">
        <v>199</v>
      </c>
      <c r="D69">
        <v>0</v>
      </c>
      <c r="E69" t="s">
        <v>6</v>
      </c>
    </row>
    <row r="70" spans="1:5" x14ac:dyDescent="0.3">
      <c r="A70" t="s">
        <v>198</v>
      </c>
      <c r="D70">
        <v>1</v>
      </c>
      <c r="E70" t="s">
        <v>0</v>
      </c>
    </row>
    <row r="71" spans="1:5" x14ac:dyDescent="0.3">
      <c r="A71" t="s">
        <v>197</v>
      </c>
      <c r="D71">
        <v>2</v>
      </c>
      <c r="E71" t="s">
        <v>196</v>
      </c>
    </row>
    <row r="72" spans="1:5" x14ac:dyDescent="0.3">
      <c r="A72" t="s">
        <v>195</v>
      </c>
      <c r="D72">
        <v>0</v>
      </c>
      <c r="E72" t="s">
        <v>0</v>
      </c>
    </row>
    <row r="74" spans="1:5" x14ac:dyDescent="0.3">
      <c r="A74" t="s">
        <v>189</v>
      </c>
      <c r="D74">
        <f>(D68*D69*D70/27)+(D71*D72)</f>
        <v>0</v>
      </c>
      <c r="E74" t="s">
        <v>187</v>
      </c>
    </row>
    <row r="77" spans="1:5" x14ac:dyDescent="0.3">
      <c r="A77" s="1" t="s">
        <v>194</v>
      </c>
    </row>
    <row r="79" spans="1:5" x14ac:dyDescent="0.3">
      <c r="A79" t="s">
        <v>192</v>
      </c>
      <c r="D79">
        <v>1.25</v>
      </c>
      <c r="E79" t="s">
        <v>6</v>
      </c>
    </row>
    <row r="80" spans="1:5" x14ac:dyDescent="0.3">
      <c r="A80" t="s">
        <v>191</v>
      </c>
      <c r="D80">
        <v>0</v>
      </c>
      <c r="E80" t="s">
        <v>6</v>
      </c>
    </row>
    <row r="81" spans="1:6" x14ac:dyDescent="0.3">
      <c r="A81" t="s">
        <v>190</v>
      </c>
      <c r="D81">
        <v>1.7</v>
      </c>
      <c r="E81" t="s">
        <v>6</v>
      </c>
    </row>
    <row r="83" spans="1:6" x14ac:dyDescent="0.3">
      <c r="A83" t="s">
        <v>189</v>
      </c>
      <c r="D83">
        <f>D79*D80*D81</f>
        <v>0</v>
      </c>
      <c r="E83" t="s">
        <v>188</v>
      </c>
    </row>
    <row r="84" spans="1:6" x14ac:dyDescent="0.3">
      <c r="D84">
        <f>D83/27</f>
        <v>0</v>
      </c>
      <c r="E84" t="s">
        <v>187</v>
      </c>
    </row>
    <row r="86" spans="1:6" x14ac:dyDescent="0.3">
      <c r="A86" s="1" t="s">
        <v>193</v>
      </c>
    </row>
    <row r="88" spans="1:6" x14ac:dyDescent="0.3">
      <c r="A88" t="s">
        <v>192</v>
      </c>
      <c r="D88">
        <v>1.25</v>
      </c>
      <c r="E88" t="s">
        <v>6</v>
      </c>
    </row>
    <row r="89" spans="1:6" x14ac:dyDescent="0.3">
      <c r="A89" t="s">
        <v>191</v>
      </c>
      <c r="D89">
        <v>0</v>
      </c>
      <c r="E89" t="s">
        <v>6</v>
      </c>
    </row>
    <row r="90" spans="1:6" x14ac:dyDescent="0.3">
      <c r="A90" t="s">
        <v>190</v>
      </c>
      <c r="D90">
        <v>1.7</v>
      </c>
      <c r="E90" t="s">
        <v>6</v>
      </c>
    </row>
    <row r="92" spans="1:6" x14ac:dyDescent="0.3">
      <c r="A92" t="s">
        <v>189</v>
      </c>
      <c r="D92">
        <f>D88*D89*D90</f>
        <v>0</v>
      </c>
      <c r="E92" t="s">
        <v>188</v>
      </c>
    </row>
    <row r="93" spans="1:6" x14ac:dyDescent="0.3">
      <c r="D93">
        <f>D92/27</f>
        <v>0</v>
      </c>
      <c r="E93" t="s">
        <v>187</v>
      </c>
    </row>
    <row r="94" spans="1:6" x14ac:dyDescent="0.3">
      <c r="F94">
        <v>0</v>
      </c>
    </row>
    <row r="95" spans="1:6" x14ac:dyDescent="0.3">
      <c r="A95" s="3" t="s">
        <v>21</v>
      </c>
      <c r="B95" s="3"/>
      <c r="C95" s="3"/>
      <c r="D95" s="3">
        <f>ROUNDUP((D74+D84+D93),0)</f>
        <v>0</v>
      </c>
      <c r="E95" s="3" t="s">
        <v>187</v>
      </c>
    </row>
    <row r="99" spans="1:5" x14ac:dyDescent="0.3">
      <c r="B99" s="1"/>
      <c r="C99" s="1"/>
      <c r="D99" s="1"/>
      <c r="E99" s="1"/>
    </row>
    <row r="100" spans="1:5" x14ac:dyDescent="0.3">
      <c r="A100" s="107" t="s">
        <v>186</v>
      </c>
      <c r="B100" s="1"/>
      <c r="C100" s="1"/>
      <c r="D100" s="1"/>
      <c r="E100" s="1"/>
    </row>
    <row r="101" spans="1:5" x14ac:dyDescent="0.3">
      <c r="A101" s="5"/>
    </row>
    <row r="102" spans="1:5" x14ac:dyDescent="0.3">
      <c r="A102" s="6" t="s">
        <v>170</v>
      </c>
      <c r="B102" s="6"/>
    </row>
    <row r="103" spans="1:5" x14ac:dyDescent="0.3">
      <c r="A103" t="s">
        <v>169</v>
      </c>
      <c r="D103">
        <v>296.60000000000002</v>
      </c>
      <c r="E103" t="s">
        <v>6</v>
      </c>
    </row>
    <row r="104" spans="1:5" x14ac:dyDescent="0.3">
      <c r="A104" t="s">
        <v>168</v>
      </c>
      <c r="D104">
        <f>2.666+1.5+2.666+1+3</f>
        <v>10.832000000000001</v>
      </c>
      <c r="E104" t="s">
        <v>6</v>
      </c>
    </row>
    <row r="105" spans="1:5" x14ac:dyDescent="0.3">
      <c r="A105" t="s">
        <v>167</v>
      </c>
      <c r="D105">
        <v>2</v>
      </c>
    </row>
    <row r="106" spans="1:5" x14ac:dyDescent="0.3">
      <c r="A106" t="s">
        <v>166</v>
      </c>
      <c r="D106">
        <f>D103*D104*D105</f>
        <v>6425.5424000000012</v>
      </c>
      <c r="E106" t="s">
        <v>3</v>
      </c>
    </row>
    <row r="107" spans="1:5" x14ac:dyDescent="0.3">
      <c r="D107" s="8">
        <f>D106/9</f>
        <v>713.94915555555565</v>
      </c>
      <c r="E107" t="s">
        <v>2</v>
      </c>
    </row>
    <row r="109" spans="1:5" x14ac:dyDescent="0.3">
      <c r="A109" s="1" t="s">
        <v>185</v>
      </c>
    </row>
    <row r="110" spans="1:5" x14ac:dyDescent="0.3">
      <c r="A110" t="s">
        <v>184</v>
      </c>
      <c r="D110">
        <v>3</v>
      </c>
    </row>
    <row r="111" spans="1:5" x14ac:dyDescent="0.3">
      <c r="A111" t="s">
        <v>183</v>
      </c>
      <c r="D111">
        <v>3</v>
      </c>
      <c r="E111" t="s">
        <v>6</v>
      </c>
    </row>
    <row r="112" spans="1:5" x14ac:dyDescent="0.3">
      <c r="A112" t="s">
        <v>358</v>
      </c>
      <c r="D112">
        <v>38.67</v>
      </c>
      <c r="E112" t="s">
        <v>6</v>
      </c>
    </row>
    <row r="113" spans="1:5" x14ac:dyDescent="0.3">
      <c r="A113" t="s">
        <v>182</v>
      </c>
      <c r="D113">
        <f>D111*4.5</f>
        <v>13.5</v>
      </c>
      <c r="E113" t="s">
        <v>3</v>
      </c>
    </row>
    <row r="114" spans="1:5" x14ac:dyDescent="0.3">
      <c r="A114" t="s">
        <v>181</v>
      </c>
      <c r="D114">
        <v>2</v>
      </c>
    </row>
    <row r="116" spans="1:5" x14ac:dyDescent="0.3">
      <c r="A116" t="s">
        <v>180</v>
      </c>
      <c r="D116">
        <f>D111*D112</f>
        <v>116.01</v>
      </c>
      <c r="E116" t="s">
        <v>3</v>
      </c>
    </row>
    <row r="117" spans="1:5" x14ac:dyDescent="0.3">
      <c r="A117" t="s">
        <v>179</v>
      </c>
      <c r="D117">
        <v>1</v>
      </c>
    </row>
    <row r="119" spans="1:5" x14ac:dyDescent="0.3">
      <c r="A119" t="s">
        <v>178</v>
      </c>
      <c r="D119">
        <f>D112*(3.6+4.6)/2</f>
        <v>158.547</v>
      </c>
      <c r="E119" t="s">
        <v>3</v>
      </c>
    </row>
    <row r="120" spans="1:5" x14ac:dyDescent="0.3">
      <c r="A120" t="s">
        <v>177</v>
      </c>
      <c r="D120">
        <v>2</v>
      </c>
    </row>
    <row r="122" spans="1:5" x14ac:dyDescent="0.3">
      <c r="A122" t="s">
        <v>176</v>
      </c>
    </row>
    <row r="123" spans="1:5" x14ac:dyDescent="0.3">
      <c r="A123" t="s">
        <v>175</v>
      </c>
      <c r="D123">
        <v>0</v>
      </c>
      <c r="E123" t="s">
        <v>33</v>
      </c>
    </row>
    <row r="124" spans="1:5" x14ac:dyDescent="0.3">
      <c r="A124" t="s">
        <v>174</v>
      </c>
      <c r="D124" s="8">
        <v>38.67</v>
      </c>
      <c r="E124" t="s">
        <v>6</v>
      </c>
    </row>
    <row r="125" spans="1:5" x14ac:dyDescent="0.3">
      <c r="A125" t="s">
        <v>173</v>
      </c>
      <c r="D125" s="8">
        <f>(D124*D111-D128*PI()*(D130^2)/4)</f>
        <v>94.804249588268902</v>
      </c>
      <c r="E125" t="s">
        <v>3</v>
      </c>
    </row>
    <row r="127" spans="1:5" x14ac:dyDescent="0.3">
      <c r="A127" s="6" t="s">
        <v>351</v>
      </c>
      <c r="B127" s="166"/>
    </row>
    <row r="128" spans="1:5" x14ac:dyDescent="0.3">
      <c r="A128" t="s">
        <v>352</v>
      </c>
      <c r="D128">
        <v>3</v>
      </c>
      <c r="E128" t="s">
        <v>0</v>
      </c>
    </row>
    <row r="129" spans="1:9" x14ac:dyDescent="0.3">
      <c r="A129" t="s">
        <v>356</v>
      </c>
      <c r="D129" s="8">
        <f>AVERAGE(11,18,27)</f>
        <v>18.666666666666668</v>
      </c>
      <c r="E129" t="s">
        <v>6</v>
      </c>
    </row>
    <row r="130" spans="1:9" x14ac:dyDescent="0.3">
      <c r="A130" t="s">
        <v>353</v>
      </c>
      <c r="D130">
        <f>3</f>
        <v>3</v>
      </c>
      <c r="E130" t="s">
        <v>6</v>
      </c>
    </row>
    <row r="131" spans="1:9" x14ac:dyDescent="0.3">
      <c r="A131" t="s">
        <v>354</v>
      </c>
      <c r="D131" s="8">
        <f>PI()*D130</f>
        <v>9.4247779607693793</v>
      </c>
      <c r="E131" t="s">
        <v>6</v>
      </c>
    </row>
    <row r="132" spans="1:9" x14ac:dyDescent="0.3">
      <c r="A132" t="s">
        <v>355</v>
      </c>
      <c r="D132" s="8">
        <f>D128*D129*D131</f>
        <v>527.78756580308527</v>
      </c>
      <c r="E132" t="s">
        <v>3</v>
      </c>
    </row>
    <row r="135" spans="1:9" x14ac:dyDescent="0.3">
      <c r="A135" t="s">
        <v>145</v>
      </c>
      <c r="D135" s="8">
        <f>D110*(D113*D114+D116*D117+D119*D120+D125+D132)</f>
        <v>3248.0874461740627</v>
      </c>
      <c r="E135" t="s">
        <v>3</v>
      </c>
    </row>
    <row r="136" spans="1:9" x14ac:dyDescent="0.3">
      <c r="D136" s="8">
        <f>D135/9</f>
        <v>360.89860513045141</v>
      </c>
      <c r="E136" t="s">
        <v>2</v>
      </c>
    </row>
    <row r="138" spans="1:9" x14ac:dyDescent="0.3">
      <c r="A138" s="6" t="s">
        <v>164</v>
      </c>
      <c r="B138" s="6"/>
      <c r="C138" s="6"/>
      <c r="D138" s="6"/>
      <c r="E138" s="6"/>
      <c r="F138" s="6"/>
      <c r="G138" s="6"/>
      <c r="H138" s="6"/>
      <c r="I138" s="6"/>
    </row>
    <row r="140" spans="1:9" x14ac:dyDescent="0.3">
      <c r="A140" t="s">
        <v>162</v>
      </c>
      <c r="D140">
        <v>2</v>
      </c>
      <c r="E140" t="s">
        <v>6</v>
      </c>
    </row>
    <row r="141" spans="1:9" x14ac:dyDescent="0.3">
      <c r="A141" t="s">
        <v>161</v>
      </c>
      <c r="D141">
        <v>40.75</v>
      </c>
      <c r="E141" t="s">
        <v>6</v>
      </c>
    </row>
    <row r="142" spans="1:9" x14ac:dyDescent="0.3">
      <c r="A142" t="s">
        <v>160</v>
      </c>
      <c r="D142">
        <v>2.5</v>
      </c>
      <c r="E142" t="s">
        <v>6</v>
      </c>
    </row>
    <row r="143" spans="1:9" x14ac:dyDescent="0.3">
      <c r="A143" t="s">
        <v>159</v>
      </c>
      <c r="D143">
        <v>1.75</v>
      </c>
      <c r="E143" t="s">
        <v>6</v>
      </c>
    </row>
    <row r="144" spans="1:9" x14ac:dyDescent="0.3">
      <c r="A144" t="s">
        <v>158</v>
      </c>
      <c r="D144">
        <v>4.8</v>
      </c>
      <c r="E144" t="s">
        <v>6</v>
      </c>
    </row>
    <row r="145" spans="1:9" x14ac:dyDescent="0.3">
      <c r="A145" t="s">
        <v>157</v>
      </c>
      <c r="D145">
        <v>0</v>
      </c>
      <c r="E145" t="s">
        <v>6</v>
      </c>
    </row>
    <row r="147" spans="1:9" x14ac:dyDescent="0.3">
      <c r="A147" t="s">
        <v>156</v>
      </c>
      <c r="D147">
        <f>D141*D142</f>
        <v>101.875</v>
      </c>
      <c r="E147" t="s">
        <v>3</v>
      </c>
    </row>
    <row r="148" spans="1:9" x14ac:dyDescent="0.3">
      <c r="A148" t="s">
        <v>155</v>
      </c>
      <c r="D148">
        <f>D141*D140</f>
        <v>81.5</v>
      </c>
      <c r="E148" t="s">
        <v>3</v>
      </c>
    </row>
    <row r="149" spans="1:9" x14ac:dyDescent="0.3">
      <c r="A149" t="s">
        <v>154</v>
      </c>
      <c r="D149">
        <f>2*(D140*D142)</f>
        <v>10</v>
      </c>
      <c r="E149" t="s">
        <v>3</v>
      </c>
    </row>
    <row r="150" spans="1:9" x14ac:dyDescent="0.3">
      <c r="A150" t="s">
        <v>153</v>
      </c>
      <c r="D150">
        <f>4*D140*D145</f>
        <v>0</v>
      </c>
      <c r="E150" t="s">
        <v>3</v>
      </c>
    </row>
    <row r="151" spans="1:9" ht="15" customHeight="1" x14ac:dyDescent="0.3">
      <c r="A151" s="84" t="s">
        <v>152</v>
      </c>
      <c r="B151" s="25"/>
      <c r="D151">
        <f>D144*D141</f>
        <v>195.6</v>
      </c>
      <c r="E151" t="s">
        <v>3</v>
      </c>
    </row>
    <row r="152" spans="1:9" x14ac:dyDescent="0.3">
      <c r="A152" s="25"/>
      <c r="B152" s="25"/>
      <c r="I152" s="105"/>
    </row>
    <row r="153" spans="1:9" x14ac:dyDescent="0.3">
      <c r="A153" s="84" t="s">
        <v>151</v>
      </c>
      <c r="B153" s="71"/>
      <c r="D153">
        <f>2.666+1.5+2.666+0.16+1+0.16</f>
        <v>8.152000000000001</v>
      </c>
      <c r="E153" t="s">
        <v>6</v>
      </c>
    </row>
    <row r="154" spans="1:9" x14ac:dyDescent="0.3">
      <c r="A154" s="84" t="s">
        <v>150</v>
      </c>
      <c r="B154" s="71"/>
      <c r="D154">
        <v>18.25</v>
      </c>
      <c r="E154" t="s">
        <v>6</v>
      </c>
    </row>
    <row r="155" spans="1:9" x14ac:dyDescent="0.3">
      <c r="A155" s="84" t="s">
        <v>149</v>
      </c>
      <c r="B155" s="71"/>
      <c r="D155">
        <f>D153*D154</f>
        <v>148.77400000000003</v>
      </c>
      <c r="E155" t="s">
        <v>3</v>
      </c>
    </row>
    <row r="156" spans="1:9" x14ac:dyDescent="0.3">
      <c r="A156" s="84" t="s">
        <v>148</v>
      </c>
      <c r="B156" s="82"/>
      <c r="D156">
        <v>2</v>
      </c>
      <c r="E156" t="s">
        <v>0</v>
      </c>
    </row>
    <row r="157" spans="1:9" x14ac:dyDescent="0.3">
      <c r="A157" s="84"/>
      <c r="B157" s="71"/>
    </row>
    <row r="158" spans="1:9" ht="15" customHeight="1" x14ac:dyDescent="0.3">
      <c r="A158" s="84" t="s">
        <v>147</v>
      </c>
      <c r="B158" s="82"/>
      <c r="D158">
        <f>(18.25*(7.5+2)/2)</f>
        <v>86.6875</v>
      </c>
      <c r="E158" t="s">
        <v>3</v>
      </c>
    </row>
    <row r="159" spans="1:9" x14ac:dyDescent="0.3">
      <c r="A159" s="84" t="s">
        <v>146</v>
      </c>
      <c r="B159" s="82"/>
      <c r="D159">
        <v>2</v>
      </c>
      <c r="E159" t="s">
        <v>0</v>
      </c>
    </row>
    <row r="160" spans="1:9" x14ac:dyDescent="0.3">
      <c r="A160" s="82"/>
      <c r="B160" s="82"/>
    </row>
    <row r="162" spans="1:9" x14ac:dyDescent="0.3">
      <c r="A162" t="s">
        <v>145</v>
      </c>
      <c r="D162" s="8">
        <f>D147+D148+D149+D150+D151+(D155*D156)+(D158*D159)</f>
        <v>859.89800000000014</v>
      </c>
      <c r="E162" t="s">
        <v>3</v>
      </c>
    </row>
    <row r="163" spans="1:9" x14ac:dyDescent="0.3">
      <c r="D163" s="8">
        <f>D162/9</f>
        <v>95.544222222222231</v>
      </c>
      <c r="E163" t="s">
        <v>2</v>
      </c>
    </row>
    <row r="166" spans="1:9" x14ac:dyDescent="0.3">
      <c r="A166" s="6" t="s">
        <v>163</v>
      </c>
      <c r="B166" s="6"/>
      <c r="C166" s="6"/>
      <c r="D166" s="6"/>
      <c r="E166" s="6"/>
      <c r="F166" s="6"/>
      <c r="G166" s="6"/>
      <c r="H166" s="6"/>
      <c r="I166" s="6"/>
    </row>
    <row r="168" spans="1:9" x14ac:dyDescent="0.3">
      <c r="A168" t="s">
        <v>162</v>
      </c>
      <c r="D168">
        <v>2</v>
      </c>
      <c r="E168" t="s">
        <v>6</v>
      </c>
    </row>
    <row r="169" spans="1:9" x14ac:dyDescent="0.3">
      <c r="A169" t="s">
        <v>161</v>
      </c>
      <c r="D169">
        <v>40.75</v>
      </c>
      <c r="E169" t="s">
        <v>6</v>
      </c>
    </row>
    <row r="170" spans="1:9" x14ac:dyDescent="0.3">
      <c r="A170" t="s">
        <v>160</v>
      </c>
      <c r="D170">
        <v>2.5</v>
      </c>
      <c r="E170" t="s">
        <v>6</v>
      </c>
    </row>
    <row r="171" spans="1:9" x14ac:dyDescent="0.3">
      <c r="A171" t="s">
        <v>159</v>
      </c>
      <c r="D171">
        <v>1.75</v>
      </c>
      <c r="E171" t="s">
        <v>6</v>
      </c>
    </row>
    <row r="172" spans="1:9" x14ac:dyDescent="0.3">
      <c r="A172" t="s">
        <v>158</v>
      </c>
      <c r="D172">
        <v>4.8</v>
      </c>
      <c r="E172" t="s">
        <v>6</v>
      </c>
    </row>
    <row r="173" spans="1:9" x14ac:dyDescent="0.3">
      <c r="A173" t="s">
        <v>157</v>
      </c>
      <c r="D173">
        <v>0</v>
      </c>
      <c r="E173" t="s">
        <v>6</v>
      </c>
    </row>
    <row r="175" spans="1:9" x14ac:dyDescent="0.3">
      <c r="A175" t="s">
        <v>156</v>
      </c>
      <c r="D175">
        <f>D169*D170</f>
        <v>101.875</v>
      </c>
      <c r="E175" t="s">
        <v>3</v>
      </c>
    </row>
    <row r="176" spans="1:9" x14ac:dyDescent="0.3">
      <c r="A176" t="s">
        <v>155</v>
      </c>
      <c r="D176">
        <f>D169*D168</f>
        <v>81.5</v>
      </c>
      <c r="E176" t="s">
        <v>3</v>
      </c>
    </row>
    <row r="177" spans="1:5" x14ac:dyDescent="0.3">
      <c r="A177" t="s">
        <v>154</v>
      </c>
      <c r="D177">
        <f>2*(D168*D170)</f>
        <v>10</v>
      </c>
      <c r="E177" t="s">
        <v>3</v>
      </c>
    </row>
    <row r="178" spans="1:5" ht="15" customHeight="1" x14ac:dyDescent="0.3">
      <c r="A178" t="s">
        <v>153</v>
      </c>
      <c r="D178">
        <f>4*D168*D173</f>
        <v>0</v>
      </c>
      <c r="E178" t="s">
        <v>3</v>
      </c>
    </row>
    <row r="179" spans="1:5" x14ac:dyDescent="0.3">
      <c r="A179" s="84" t="s">
        <v>152</v>
      </c>
      <c r="B179" s="25"/>
      <c r="D179">
        <f>D172*D169</f>
        <v>195.6</v>
      </c>
      <c r="E179" t="s">
        <v>3</v>
      </c>
    </row>
    <row r="180" spans="1:5" x14ac:dyDescent="0.3">
      <c r="A180" s="25"/>
      <c r="B180" s="25"/>
    </row>
    <row r="181" spans="1:5" x14ac:dyDescent="0.3">
      <c r="A181" s="84" t="s">
        <v>151</v>
      </c>
      <c r="B181" s="71"/>
      <c r="D181">
        <f>2.666+1.5+2.666+0.16+1+0.16</f>
        <v>8.152000000000001</v>
      </c>
      <c r="E181" t="s">
        <v>6</v>
      </c>
    </row>
    <row r="182" spans="1:5" x14ac:dyDescent="0.3">
      <c r="A182" s="84" t="s">
        <v>150</v>
      </c>
      <c r="B182" s="71"/>
      <c r="D182">
        <v>14.5</v>
      </c>
      <c r="E182" t="s">
        <v>6</v>
      </c>
    </row>
    <row r="183" spans="1:5" x14ac:dyDescent="0.3">
      <c r="A183" s="84" t="s">
        <v>149</v>
      </c>
      <c r="B183" s="71"/>
      <c r="D183">
        <f>D181*D182</f>
        <v>118.20400000000001</v>
      </c>
      <c r="E183" t="s">
        <v>3</v>
      </c>
    </row>
    <row r="184" spans="1:5" x14ac:dyDescent="0.3">
      <c r="A184" s="84" t="s">
        <v>148</v>
      </c>
      <c r="B184" s="82"/>
      <c r="D184">
        <v>2</v>
      </c>
      <c r="E184" t="s">
        <v>0</v>
      </c>
    </row>
    <row r="185" spans="1:5" ht="15" customHeight="1" x14ac:dyDescent="0.3">
      <c r="A185" s="84"/>
      <c r="B185" s="71"/>
    </row>
    <row r="186" spans="1:5" x14ac:dyDescent="0.3">
      <c r="A186" s="84" t="s">
        <v>147</v>
      </c>
      <c r="B186" s="82"/>
      <c r="D186">
        <f>(18.25*(7.5+2)/2)</f>
        <v>86.6875</v>
      </c>
      <c r="E186" t="s">
        <v>3</v>
      </c>
    </row>
    <row r="187" spans="1:5" x14ac:dyDescent="0.3">
      <c r="A187" s="84" t="s">
        <v>146</v>
      </c>
      <c r="B187" s="82"/>
      <c r="D187">
        <v>2</v>
      </c>
      <c r="E187" t="s">
        <v>0</v>
      </c>
    </row>
    <row r="188" spans="1:5" x14ac:dyDescent="0.3">
      <c r="A188" s="82"/>
      <c r="B188" s="82"/>
    </row>
    <row r="190" spans="1:5" x14ac:dyDescent="0.3">
      <c r="A190" t="s">
        <v>145</v>
      </c>
      <c r="D190" s="8">
        <f>D175+D176+D177+D178+D179+(D183*D184)+(D186*D187)</f>
        <v>798.75800000000004</v>
      </c>
      <c r="E190" t="s">
        <v>3</v>
      </c>
    </row>
    <row r="191" spans="1:5" x14ac:dyDescent="0.3">
      <c r="D191" s="8">
        <f>D190/9</f>
        <v>88.750888888888895</v>
      </c>
      <c r="E191" t="s">
        <v>2</v>
      </c>
    </row>
    <row r="193" spans="1:9" x14ac:dyDescent="0.3">
      <c r="A193" s="3" t="s">
        <v>144</v>
      </c>
      <c r="B193" s="3"/>
      <c r="C193" s="3"/>
      <c r="D193" s="4">
        <f>ROUNDUP(D107+D136+D163+D191,0)</f>
        <v>1260</v>
      </c>
      <c r="E193" s="3" t="s">
        <v>2</v>
      </c>
    </row>
    <row r="196" spans="1:9" x14ac:dyDescent="0.3">
      <c r="A196" s="2" t="s">
        <v>171</v>
      </c>
    </row>
    <row r="198" spans="1:9" x14ac:dyDescent="0.3">
      <c r="A198" s="6" t="s">
        <v>170</v>
      </c>
      <c r="B198" s="6"/>
    </row>
    <row r="199" spans="1:9" x14ac:dyDescent="0.3">
      <c r="A199" t="s">
        <v>169</v>
      </c>
      <c r="D199">
        <v>537.5</v>
      </c>
      <c r="E199" t="s">
        <v>6</v>
      </c>
    </row>
    <row r="200" spans="1:9" x14ac:dyDescent="0.3">
      <c r="A200" t="s">
        <v>168</v>
      </c>
      <c r="D200">
        <v>10.5</v>
      </c>
      <c r="E200" t="s">
        <v>6</v>
      </c>
      <c r="F200">
        <f>(2.67+1.5+2.67+0.92+2.75)</f>
        <v>10.51</v>
      </c>
    </row>
    <row r="201" spans="1:9" x14ac:dyDescent="0.3">
      <c r="A201" t="s">
        <v>167</v>
      </c>
      <c r="D201">
        <v>2</v>
      </c>
    </row>
    <row r="202" spans="1:9" x14ac:dyDescent="0.3">
      <c r="A202" t="s">
        <v>166</v>
      </c>
      <c r="D202">
        <f>D199*D200*D201</f>
        <v>11287.5</v>
      </c>
      <c r="E202" t="s">
        <v>3</v>
      </c>
    </row>
    <row r="203" spans="1:9" x14ac:dyDescent="0.3">
      <c r="D203" s="106">
        <f>D202/9-(10*5.5/9)</f>
        <v>1248.0555555555557</v>
      </c>
      <c r="E203" t="s">
        <v>2</v>
      </c>
      <c r="F203" s="104" t="s">
        <v>165</v>
      </c>
    </row>
    <row r="206" spans="1:9" x14ac:dyDescent="0.3">
      <c r="A206" s="6" t="s">
        <v>164</v>
      </c>
      <c r="B206" s="6"/>
      <c r="C206" s="6"/>
      <c r="D206" s="6"/>
      <c r="E206" s="6"/>
      <c r="F206" s="6"/>
      <c r="G206" s="6"/>
      <c r="H206" s="6"/>
      <c r="I206" s="6"/>
    </row>
    <row r="208" spans="1:9" x14ac:dyDescent="0.3">
      <c r="A208" t="s">
        <v>162</v>
      </c>
      <c r="D208">
        <v>2</v>
      </c>
      <c r="E208" t="s">
        <v>6</v>
      </c>
    </row>
    <row r="209" spans="1:9" x14ac:dyDescent="0.3">
      <c r="A209" t="s">
        <v>161</v>
      </c>
      <c r="D209">
        <v>40.75</v>
      </c>
      <c r="E209" t="s">
        <v>6</v>
      </c>
    </row>
    <row r="210" spans="1:9" x14ac:dyDescent="0.3">
      <c r="A210" t="s">
        <v>160</v>
      </c>
      <c r="D210">
        <v>2.5</v>
      </c>
      <c r="E210" t="s">
        <v>6</v>
      </c>
    </row>
    <row r="211" spans="1:9" x14ac:dyDescent="0.3">
      <c r="A211" t="s">
        <v>159</v>
      </c>
      <c r="D211">
        <v>1.75</v>
      </c>
      <c r="E211" t="s">
        <v>6</v>
      </c>
    </row>
    <row r="212" spans="1:9" x14ac:dyDescent="0.3">
      <c r="A212" t="s">
        <v>158</v>
      </c>
      <c r="D212">
        <v>5</v>
      </c>
      <c r="E212" t="s">
        <v>6</v>
      </c>
    </row>
    <row r="213" spans="1:9" x14ac:dyDescent="0.3">
      <c r="A213" t="s">
        <v>157</v>
      </c>
      <c r="D213">
        <v>4.75</v>
      </c>
      <c r="E213" t="s">
        <v>6</v>
      </c>
    </row>
    <row r="215" spans="1:9" x14ac:dyDescent="0.3">
      <c r="A215" t="s">
        <v>156</v>
      </c>
      <c r="D215">
        <f>D209*D210</f>
        <v>101.875</v>
      </c>
      <c r="E215" t="s">
        <v>3</v>
      </c>
    </row>
    <row r="216" spans="1:9" x14ac:dyDescent="0.3">
      <c r="A216" t="s">
        <v>155</v>
      </c>
      <c r="D216">
        <f>D209*D208</f>
        <v>81.5</v>
      </c>
      <c r="E216" t="s">
        <v>3</v>
      </c>
    </row>
    <row r="217" spans="1:9" x14ac:dyDescent="0.3">
      <c r="A217" t="s">
        <v>154</v>
      </c>
      <c r="D217">
        <f>2*(D208*D210)</f>
        <v>10</v>
      </c>
      <c r="E217" t="s">
        <v>3</v>
      </c>
    </row>
    <row r="218" spans="1:9" x14ac:dyDescent="0.3">
      <c r="A218" t="s">
        <v>153</v>
      </c>
      <c r="D218">
        <f>4*D208*D213</f>
        <v>38</v>
      </c>
      <c r="E218" t="s">
        <v>3</v>
      </c>
    </row>
    <row r="219" spans="1:9" ht="15" customHeight="1" x14ac:dyDescent="0.3">
      <c r="A219" s="84" t="s">
        <v>152</v>
      </c>
      <c r="B219" s="25"/>
      <c r="D219">
        <f>D212*D209</f>
        <v>203.75</v>
      </c>
      <c r="E219" t="s">
        <v>3</v>
      </c>
    </row>
    <row r="220" spans="1:9" x14ac:dyDescent="0.3">
      <c r="A220" s="25"/>
      <c r="B220" s="25"/>
      <c r="I220" s="105"/>
    </row>
    <row r="221" spans="1:9" x14ac:dyDescent="0.3">
      <c r="A221" s="84" t="s">
        <v>151</v>
      </c>
      <c r="B221" s="71"/>
      <c r="D221">
        <v>6.83</v>
      </c>
      <c r="E221" t="s">
        <v>6</v>
      </c>
    </row>
    <row r="222" spans="1:9" x14ac:dyDescent="0.3">
      <c r="A222" s="84" t="s">
        <v>150</v>
      </c>
      <c r="B222" s="71"/>
      <c r="D222">
        <v>18.25</v>
      </c>
      <c r="E222" t="s">
        <v>6</v>
      </c>
    </row>
    <row r="223" spans="1:9" x14ac:dyDescent="0.3">
      <c r="A223" s="84" t="s">
        <v>149</v>
      </c>
      <c r="B223" s="71"/>
      <c r="D223">
        <f>D221*D222</f>
        <v>124.64750000000001</v>
      </c>
      <c r="E223" t="s">
        <v>3</v>
      </c>
    </row>
    <row r="224" spans="1:9" x14ac:dyDescent="0.3">
      <c r="A224" s="84" t="s">
        <v>148</v>
      </c>
      <c r="B224" s="82"/>
      <c r="D224">
        <v>2</v>
      </c>
      <c r="E224" t="s">
        <v>0</v>
      </c>
    </row>
    <row r="225" spans="1:9" x14ac:dyDescent="0.3">
      <c r="A225" s="84"/>
      <c r="B225" s="71"/>
    </row>
    <row r="226" spans="1:9" ht="15" customHeight="1" x14ac:dyDescent="0.3">
      <c r="A226" s="84" t="s">
        <v>147</v>
      </c>
      <c r="B226" s="82"/>
      <c r="D226">
        <v>108</v>
      </c>
      <c r="E226" t="s">
        <v>3</v>
      </c>
    </row>
    <row r="227" spans="1:9" x14ac:dyDescent="0.3">
      <c r="A227" s="84" t="s">
        <v>146</v>
      </c>
      <c r="B227" s="82"/>
      <c r="D227">
        <v>2</v>
      </c>
      <c r="E227" t="s">
        <v>0</v>
      </c>
    </row>
    <row r="228" spans="1:9" x14ac:dyDescent="0.3">
      <c r="A228" s="82"/>
      <c r="B228" s="82"/>
    </row>
    <row r="230" spans="1:9" x14ac:dyDescent="0.3">
      <c r="A230" t="s">
        <v>145</v>
      </c>
      <c r="D230" s="8">
        <f>D215+D216+D217+D218+D219+(D223*D224)+(D226*D227)</f>
        <v>900.42000000000007</v>
      </c>
      <c r="E230" t="s">
        <v>3</v>
      </c>
    </row>
    <row r="231" spans="1:9" x14ac:dyDescent="0.3">
      <c r="D231" s="8">
        <f>D230/9</f>
        <v>100.04666666666668</v>
      </c>
      <c r="E231" t="s">
        <v>2</v>
      </c>
    </row>
    <row r="234" spans="1:9" x14ac:dyDescent="0.3">
      <c r="A234" s="6" t="s">
        <v>163</v>
      </c>
      <c r="B234" s="6"/>
      <c r="C234" s="6"/>
      <c r="D234" s="6"/>
      <c r="E234" s="6"/>
      <c r="F234" s="6"/>
      <c r="G234" s="6"/>
      <c r="H234" s="6"/>
      <c r="I234" s="6"/>
    </row>
    <row r="236" spans="1:9" x14ac:dyDescent="0.3">
      <c r="A236" t="s">
        <v>162</v>
      </c>
      <c r="D236">
        <v>2</v>
      </c>
      <c r="E236" t="s">
        <v>6</v>
      </c>
    </row>
    <row r="237" spans="1:9" x14ac:dyDescent="0.3">
      <c r="A237" t="s">
        <v>161</v>
      </c>
      <c r="D237">
        <v>48.17</v>
      </c>
      <c r="E237" t="s">
        <v>6</v>
      </c>
    </row>
    <row r="238" spans="1:9" x14ac:dyDescent="0.3">
      <c r="A238" t="s">
        <v>160</v>
      </c>
      <c r="D238">
        <v>2.5</v>
      </c>
      <c r="E238" t="s">
        <v>6</v>
      </c>
    </row>
    <row r="239" spans="1:9" x14ac:dyDescent="0.3">
      <c r="A239" t="s">
        <v>159</v>
      </c>
      <c r="D239">
        <v>1.75</v>
      </c>
      <c r="E239" t="s">
        <v>6</v>
      </c>
    </row>
    <row r="240" spans="1:9" x14ac:dyDescent="0.3">
      <c r="A240" t="s">
        <v>158</v>
      </c>
      <c r="D240">
        <v>8</v>
      </c>
      <c r="E240" t="s">
        <v>6</v>
      </c>
    </row>
    <row r="241" spans="1:5" x14ac:dyDescent="0.3">
      <c r="A241" t="s">
        <v>157</v>
      </c>
      <c r="D241">
        <v>7.75</v>
      </c>
      <c r="E241" t="s">
        <v>6</v>
      </c>
    </row>
    <row r="243" spans="1:5" x14ac:dyDescent="0.3">
      <c r="A243" t="s">
        <v>156</v>
      </c>
      <c r="D243">
        <f>D237*D238</f>
        <v>120.42500000000001</v>
      </c>
      <c r="E243" t="s">
        <v>3</v>
      </c>
    </row>
    <row r="244" spans="1:5" x14ac:dyDescent="0.3">
      <c r="A244" t="s">
        <v>155</v>
      </c>
      <c r="D244">
        <f>D237*D236</f>
        <v>96.34</v>
      </c>
      <c r="E244" t="s">
        <v>3</v>
      </c>
    </row>
    <row r="245" spans="1:5" x14ac:dyDescent="0.3">
      <c r="A245" t="s">
        <v>154</v>
      </c>
      <c r="D245">
        <f>2*(D236*D238)</f>
        <v>10</v>
      </c>
      <c r="E245" t="s">
        <v>3</v>
      </c>
    </row>
    <row r="246" spans="1:5" ht="15" customHeight="1" x14ac:dyDescent="0.3">
      <c r="A246" t="s">
        <v>153</v>
      </c>
      <c r="D246">
        <f>4*D236*D241</f>
        <v>62</v>
      </c>
      <c r="E246" t="s">
        <v>3</v>
      </c>
    </row>
    <row r="247" spans="1:5" x14ac:dyDescent="0.3">
      <c r="A247" s="84" t="s">
        <v>152</v>
      </c>
      <c r="B247" s="25"/>
      <c r="D247">
        <f>D240*D237</f>
        <v>385.36</v>
      </c>
      <c r="E247" t="s">
        <v>3</v>
      </c>
    </row>
    <row r="248" spans="1:5" x14ac:dyDescent="0.3">
      <c r="A248" s="25"/>
      <c r="B248" s="25"/>
    </row>
    <row r="249" spans="1:5" x14ac:dyDescent="0.3">
      <c r="A249" s="84" t="s">
        <v>151</v>
      </c>
      <c r="B249" s="71"/>
      <c r="D249">
        <v>7.5</v>
      </c>
      <c r="E249" t="s">
        <v>6</v>
      </c>
    </row>
    <row r="250" spans="1:5" x14ac:dyDescent="0.3">
      <c r="A250" s="84" t="s">
        <v>150</v>
      </c>
      <c r="B250" s="71"/>
      <c r="D250">
        <v>29</v>
      </c>
      <c r="E250" t="s">
        <v>6</v>
      </c>
    </row>
    <row r="251" spans="1:5" x14ac:dyDescent="0.3">
      <c r="A251" s="84" t="s">
        <v>149</v>
      </c>
      <c r="B251" s="71"/>
      <c r="D251">
        <f>D249*D250</f>
        <v>217.5</v>
      </c>
      <c r="E251" t="s">
        <v>3</v>
      </c>
    </row>
    <row r="252" spans="1:5" x14ac:dyDescent="0.3">
      <c r="A252" s="84" t="s">
        <v>148</v>
      </c>
      <c r="B252" s="82"/>
      <c r="D252">
        <v>2</v>
      </c>
      <c r="E252" t="s">
        <v>0</v>
      </c>
    </row>
    <row r="253" spans="1:5" ht="15" customHeight="1" x14ac:dyDescent="0.3">
      <c r="A253" s="84"/>
      <c r="B253" s="71"/>
    </row>
    <row r="254" spans="1:5" x14ac:dyDescent="0.3">
      <c r="A254" s="84" t="s">
        <v>147</v>
      </c>
      <c r="B254" s="82"/>
      <c r="D254">
        <f>(20*8)+(3*4)+(6*3)</f>
        <v>190</v>
      </c>
      <c r="E254" t="s">
        <v>3</v>
      </c>
    </row>
    <row r="255" spans="1:5" x14ac:dyDescent="0.3">
      <c r="A255" s="84" t="s">
        <v>146</v>
      </c>
      <c r="B255" s="82"/>
      <c r="D255">
        <v>2</v>
      </c>
      <c r="E255" t="s">
        <v>0</v>
      </c>
    </row>
    <row r="256" spans="1:5" x14ac:dyDescent="0.3">
      <c r="A256" s="82"/>
      <c r="B256" s="82"/>
    </row>
    <row r="258" spans="1:7" x14ac:dyDescent="0.3">
      <c r="A258" t="s">
        <v>145</v>
      </c>
      <c r="D258" s="8">
        <f>D243+D244+D245+D246+D247+(D251*D252)+(D254*D255)</f>
        <v>1489.125</v>
      </c>
      <c r="E258" t="s">
        <v>3</v>
      </c>
    </row>
    <row r="259" spans="1:7" x14ac:dyDescent="0.3">
      <c r="D259" s="8">
        <f>D258/9</f>
        <v>165.45833333333334</v>
      </c>
      <c r="E259" t="s">
        <v>2</v>
      </c>
    </row>
    <row r="261" spans="1:7" x14ac:dyDescent="0.3">
      <c r="A261" s="3" t="s">
        <v>144</v>
      </c>
      <c r="B261" s="3"/>
      <c r="C261" s="3"/>
      <c r="D261" s="4">
        <f>ROUNDUP(D203+D231+D259,0)</f>
        <v>1514</v>
      </c>
      <c r="E261" s="3" t="s">
        <v>2</v>
      </c>
    </row>
    <row r="265" spans="1:7" x14ac:dyDescent="0.3">
      <c r="A265" s="5" t="s">
        <v>324</v>
      </c>
    </row>
    <row r="267" spans="1:7" x14ac:dyDescent="0.3">
      <c r="A267" t="s">
        <v>143</v>
      </c>
      <c r="D267">
        <v>25</v>
      </c>
      <c r="E267" t="s">
        <v>6</v>
      </c>
    </row>
    <row r="268" spans="1:7" x14ac:dyDescent="0.3">
      <c r="A268" t="s">
        <v>142</v>
      </c>
      <c r="D268">
        <v>35.5</v>
      </c>
      <c r="E268" t="s">
        <v>6</v>
      </c>
      <c r="F268" t="s">
        <v>136</v>
      </c>
    </row>
    <row r="269" spans="1:7" x14ac:dyDescent="0.3">
      <c r="A269" t="s">
        <v>141</v>
      </c>
      <c r="D269">
        <v>0</v>
      </c>
    </row>
    <row r="270" spans="1:7" x14ac:dyDescent="0.3">
      <c r="A270" t="s">
        <v>140</v>
      </c>
      <c r="D270">
        <f>D267*D268*D269</f>
        <v>0</v>
      </c>
      <c r="E270" t="s">
        <v>134</v>
      </c>
      <c r="F270">
        <f>D270/9</f>
        <v>0</v>
      </c>
      <c r="G270" t="s">
        <v>2</v>
      </c>
    </row>
    <row r="272" spans="1:7" x14ac:dyDescent="0.3">
      <c r="A272" t="s">
        <v>139</v>
      </c>
      <c r="D272">
        <f>295.26</f>
        <v>295.26</v>
      </c>
      <c r="E272" t="s">
        <v>6</v>
      </c>
      <c r="F272" t="s">
        <v>138</v>
      </c>
    </row>
    <row r="273" spans="1:7" x14ac:dyDescent="0.3">
      <c r="A273" t="s">
        <v>137</v>
      </c>
      <c r="D273">
        <v>0</v>
      </c>
      <c r="E273" t="s">
        <v>6</v>
      </c>
      <c r="F273" t="s">
        <v>136</v>
      </c>
    </row>
    <row r="274" spans="1:7" x14ac:dyDescent="0.3">
      <c r="A274" t="s">
        <v>135</v>
      </c>
      <c r="D274">
        <f>D272*D273</f>
        <v>0</v>
      </c>
      <c r="E274" t="s">
        <v>134</v>
      </c>
      <c r="F274">
        <f>D274/9</f>
        <v>0</v>
      </c>
      <c r="G274" t="s">
        <v>2</v>
      </c>
    </row>
    <row r="276" spans="1:7" x14ac:dyDescent="0.3">
      <c r="A276" s="3" t="s">
        <v>133</v>
      </c>
      <c r="B276" s="3">
        <f>ROUNDUP(F270+F274,0)</f>
        <v>0</v>
      </c>
      <c r="C276" s="3" t="s">
        <v>2</v>
      </c>
    </row>
    <row r="279" spans="1:7" x14ac:dyDescent="0.3">
      <c r="A279" s="5" t="s">
        <v>132</v>
      </c>
    </row>
    <row r="280" spans="1:7" x14ac:dyDescent="0.3">
      <c r="A280" t="s">
        <v>131</v>
      </c>
      <c r="F280">
        <v>0</v>
      </c>
      <c r="G280" t="s">
        <v>0</v>
      </c>
    </row>
    <row r="282" spans="1:7" x14ac:dyDescent="0.3">
      <c r="A282" s="2" t="s">
        <v>412</v>
      </c>
      <c r="G282" t="s">
        <v>274</v>
      </c>
    </row>
    <row r="285" spans="1:7" x14ac:dyDescent="0.3">
      <c r="A285" s="102" t="s">
        <v>436</v>
      </c>
      <c r="B285" s="6"/>
      <c r="C285" s="6"/>
    </row>
    <row r="286" spans="1:7" x14ac:dyDescent="0.3">
      <c r="A286" t="s">
        <v>437</v>
      </c>
      <c r="D286">
        <v>10</v>
      </c>
      <c r="E286" t="s">
        <v>0</v>
      </c>
    </row>
    <row r="287" spans="1:7" x14ac:dyDescent="0.3">
      <c r="A287" t="s">
        <v>439</v>
      </c>
      <c r="D287" s="8">
        <f>42*0.42</f>
        <v>17.64</v>
      </c>
      <c r="E287" t="s">
        <v>434</v>
      </c>
    </row>
    <row r="288" spans="1:7" x14ac:dyDescent="0.3">
      <c r="A288" t="s">
        <v>438</v>
      </c>
      <c r="D288" s="8">
        <f>(10.75*17*1.125)/1728*490</f>
        <v>58.299153645833329</v>
      </c>
      <c r="E288" t="s">
        <v>434</v>
      </c>
    </row>
    <row r="289" spans="1:70" x14ac:dyDescent="0.3">
      <c r="A289" t="s">
        <v>440</v>
      </c>
      <c r="D289">
        <f>ROUNDUP(D286*(D287+D288),0)</f>
        <v>760</v>
      </c>
      <c r="E289" t="s">
        <v>434</v>
      </c>
    </row>
    <row r="290" spans="1:70" x14ac:dyDescent="0.3">
      <c r="A290" s="194" t="s">
        <v>130</v>
      </c>
      <c r="B290" s="194"/>
      <c r="C290" s="194"/>
      <c r="D290" s="194"/>
      <c r="E290" s="194"/>
      <c r="F290" s="194"/>
      <c r="G290" s="194"/>
      <c r="H290" s="194"/>
      <c r="I290" s="194"/>
      <c r="J290" s="194"/>
      <c r="K290" s="194"/>
    </row>
    <row r="291" spans="1:70" x14ac:dyDescent="0.3">
      <c r="A291" s="194"/>
      <c r="B291" s="194"/>
      <c r="C291" s="194"/>
      <c r="D291" s="194"/>
      <c r="E291" s="194"/>
      <c r="F291" s="194"/>
      <c r="G291" s="194"/>
      <c r="H291" s="194"/>
      <c r="I291" s="194"/>
      <c r="J291" s="194"/>
      <c r="K291" s="194"/>
    </row>
    <row r="292" spans="1:70" x14ac:dyDescent="0.3">
      <c r="A292" s="194"/>
      <c r="B292" s="194"/>
      <c r="C292" s="194"/>
      <c r="D292" s="194"/>
      <c r="E292" s="194"/>
      <c r="F292" s="194"/>
      <c r="G292" s="194"/>
      <c r="H292" s="194"/>
      <c r="I292" s="194"/>
      <c r="J292" s="194"/>
      <c r="K292" s="194"/>
    </row>
    <row r="293" spans="1:70" ht="15.6" x14ac:dyDescent="0.3">
      <c r="G293" s="5" t="s">
        <v>129</v>
      </c>
      <c r="AR293" s="103"/>
    </row>
    <row r="294" spans="1:70" ht="15.6" x14ac:dyDescent="0.3">
      <c r="F294" s="102" t="s">
        <v>128</v>
      </c>
      <c r="G294" s="102" t="s">
        <v>127</v>
      </c>
      <c r="H294" s="34"/>
      <c r="I294" s="101" t="s">
        <v>62</v>
      </c>
      <c r="J294" s="9">
        <f>(2*(36.33))+(3*16.5)-(2*0.75)</f>
        <v>120.66</v>
      </c>
      <c r="K294" s="9" t="s">
        <v>64</v>
      </c>
      <c r="L294" s="101" t="s">
        <v>126</v>
      </c>
      <c r="N294" s="101" t="s">
        <v>62</v>
      </c>
      <c r="O294" s="9"/>
      <c r="P294" s="9" t="s">
        <v>64</v>
      </c>
      <c r="Q294" s="101" t="s">
        <v>126</v>
      </c>
      <c r="R294" s="101" t="s">
        <v>62</v>
      </c>
      <c r="S294" s="9"/>
      <c r="T294" s="9" t="s">
        <v>64</v>
      </c>
      <c r="U294" s="101" t="s">
        <v>126</v>
      </c>
      <c r="V294" s="100"/>
      <c r="W294" s="100"/>
      <c r="X294" s="100"/>
      <c r="Y294" s="100"/>
      <c r="Z294" s="100"/>
      <c r="AA294" s="100"/>
      <c r="AB294" s="100"/>
    </row>
    <row r="295" spans="1:70" ht="57.6" x14ac:dyDescent="0.3">
      <c r="B295">
        <v>514</v>
      </c>
      <c r="C295" s="87" t="s">
        <v>125</v>
      </c>
      <c r="D295" s="71" t="s">
        <v>124</v>
      </c>
      <c r="E295" t="s">
        <v>3</v>
      </c>
      <c r="F295" s="83">
        <f>N331</f>
        <v>20901.462976119179</v>
      </c>
      <c r="G295" s="53">
        <v>0</v>
      </c>
      <c r="H295" s="92">
        <f t="shared" ref="H295:H300" si="0">SUM(F295:G295)</f>
        <v>20901.462976119179</v>
      </c>
      <c r="I295" s="99" t="s">
        <v>228</v>
      </c>
      <c r="J295" s="76">
        <f>J294/12</f>
        <v>10.055</v>
      </c>
      <c r="K295" s="9" t="s">
        <v>39</v>
      </c>
      <c r="L295" s="98"/>
      <c r="N295" s="99" t="s">
        <v>123</v>
      </c>
      <c r="O295" s="9">
        <f>O294/12</f>
        <v>0</v>
      </c>
      <c r="P295" s="9" t="s">
        <v>39</v>
      </c>
      <c r="Q295" s="98"/>
      <c r="R295" s="99" t="s">
        <v>122</v>
      </c>
      <c r="S295" s="9">
        <f>S294/12</f>
        <v>0</v>
      </c>
      <c r="T295" s="9" t="s">
        <v>39</v>
      </c>
      <c r="U295" s="98"/>
      <c r="V295" s="88"/>
      <c r="W295" s="88"/>
      <c r="X295" s="88"/>
      <c r="Y295" s="88"/>
      <c r="Z295" s="88"/>
      <c r="AA295" s="88"/>
      <c r="AB295" s="88"/>
    </row>
    <row r="296" spans="1:70" ht="43.2" x14ac:dyDescent="0.3">
      <c r="B296">
        <v>514</v>
      </c>
      <c r="C296" s="87" t="s">
        <v>121</v>
      </c>
      <c r="D296" s="71" t="s">
        <v>120</v>
      </c>
      <c r="E296" t="s">
        <v>3</v>
      </c>
      <c r="F296" s="83">
        <f>N331</f>
        <v>20901.462976119179</v>
      </c>
      <c r="G296" s="53">
        <v>0</v>
      </c>
      <c r="H296" s="92">
        <f t="shared" si="0"/>
        <v>20901.462976119179</v>
      </c>
      <c r="AD296" s="43"/>
      <c r="AE296" s="97" t="s">
        <v>119</v>
      </c>
      <c r="AF296" s="42"/>
      <c r="AG296" s="42"/>
      <c r="AH296" s="42"/>
      <c r="AI296" s="42"/>
      <c r="AJ296" s="42"/>
      <c r="AK296" s="41"/>
      <c r="AM296" s="96" t="s">
        <v>118</v>
      </c>
      <c r="AN296" s="42"/>
      <c r="AO296" s="42"/>
      <c r="AP296" s="42"/>
      <c r="AQ296" s="42"/>
      <c r="AR296" s="42"/>
      <c r="AS296" s="42"/>
      <c r="AT296" s="42"/>
      <c r="AU296" s="42"/>
      <c r="AV296" s="41"/>
      <c r="AX296" s="96" t="s">
        <v>338</v>
      </c>
      <c r="AY296" s="42"/>
      <c r="AZ296" s="42"/>
      <c r="BA296" s="42"/>
      <c r="BB296" s="42"/>
      <c r="BC296" s="42"/>
      <c r="BD296" s="42"/>
      <c r="BE296" s="42"/>
      <c r="BF296" s="42"/>
      <c r="BG296" s="41"/>
      <c r="BI296" s="95" t="s">
        <v>117</v>
      </c>
      <c r="BJ296" s="39"/>
      <c r="BK296" s="39"/>
      <c r="BL296" s="39"/>
      <c r="BM296" s="39"/>
      <c r="BN296" s="39"/>
      <c r="BO296" s="39"/>
      <c r="BP296" s="39"/>
      <c r="BQ296" s="39"/>
      <c r="BR296" s="38"/>
    </row>
    <row r="297" spans="1:70" ht="57.6" x14ac:dyDescent="0.3">
      <c r="B297">
        <v>514</v>
      </c>
      <c r="C297" s="87" t="s">
        <v>116</v>
      </c>
      <c r="D297" s="71" t="s">
        <v>115</v>
      </c>
      <c r="E297" t="s">
        <v>3</v>
      </c>
      <c r="F297" s="83">
        <f>N331</f>
        <v>20901.462976119179</v>
      </c>
      <c r="G297" s="53">
        <v>0</v>
      </c>
      <c r="H297" s="92">
        <f t="shared" si="0"/>
        <v>20901.462976119179</v>
      </c>
      <c r="I297" s="9" t="s">
        <v>40</v>
      </c>
      <c r="J297" s="76">
        <f>0.75+70+86+79.5+55.04+0.75</f>
        <v>292.04000000000002</v>
      </c>
      <c r="K297" s="9" t="s">
        <v>39</v>
      </c>
      <c r="L297" s="9" t="s">
        <v>40</v>
      </c>
      <c r="M297" s="9"/>
      <c r="N297" s="9" t="s">
        <v>39</v>
      </c>
      <c r="O297" s="9" t="s">
        <v>40</v>
      </c>
      <c r="P297" s="9"/>
      <c r="Q297" s="9" t="s">
        <v>39</v>
      </c>
      <c r="R297" s="9" t="s">
        <v>39</v>
      </c>
      <c r="S297" s="9" t="s">
        <v>40</v>
      </c>
      <c r="T297" s="9"/>
      <c r="U297" s="9" t="s">
        <v>39</v>
      </c>
      <c r="V297" s="9" t="s">
        <v>40</v>
      </c>
      <c r="W297" s="9"/>
      <c r="X297" s="9" t="s">
        <v>39</v>
      </c>
      <c r="Y297" s="9" t="s">
        <v>40</v>
      </c>
      <c r="Z297" s="9"/>
      <c r="AA297" s="9" t="s">
        <v>39</v>
      </c>
      <c r="AD297" s="37"/>
      <c r="AF297" t="s">
        <v>69</v>
      </c>
      <c r="AH297" t="s">
        <v>220</v>
      </c>
      <c r="AJ297" s="94">
        <v>6.1</v>
      </c>
      <c r="AK297" s="53" t="s">
        <v>113</v>
      </c>
      <c r="AM297" s="37"/>
      <c r="AR297" t="s">
        <v>221</v>
      </c>
      <c r="AT297" s="94">
        <v>8.1999999999999993</v>
      </c>
      <c r="AU297" s="53" t="s">
        <v>113</v>
      </c>
      <c r="AV297" s="36"/>
      <c r="AX297" s="37"/>
      <c r="BC297" t="s">
        <v>221</v>
      </c>
      <c r="BE297" s="94">
        <v>8.1999999999999993</v>
      </c>
      <c r="BF297" s="53" t="s">
        <v>113</v>
      </c>
      <c r="BG297" s="36"/>
      <c r="BI297" s="21"/>
      <c r="BJ297" s="19"/>
      <c r="BK297" s="19"/>
      <c r="BL297" s="19"/>
      <c r="BM297" s="19"/>
      <c r="BN297" s="19" t="s">
        <v>114</v>
      </c>
      <c r="BO297" s="19"/>
      <c r="BP297" s="93">
        <v>8.1999999999999993</v>
      </c>
      <c r="BQ297" s="46" t="s">
        <v>113</v>
      </c>
      <c r="BR297" s="18"/>
    </row>
    <row r="298" spans="1:70" ht="43.2" x14ac:dyDescent="0.3">
      <c r="B298">
        <v>514</v>
      </c>
      <c r="C298" s="87" t="s">
        <v>112</v>
      </c>
      <c r="D298" s="71" t="s">
        <v>111</v>
      </c>
      <c r="E298" t="s">
        <v>3</v>
      </c>
      <c r="F298" s="83">
        <f>N331</f>
        <v>20901.462976119179</v>
      </c>
      <c r="G298" s="53">
        <v>0</v>
      </c>
      <c r="H298" s="92">
        <f t="shared" si="0"/>
        <v>20901.462976119179</v>
      </c>
      <c r="I298" s="91" t="s">
        <v>58</v>
      </c>
      <c r="J298" s="90" t="s">
        <v>110</v>
      </c>
      <c r="K298" s="91"/>
      <c r="L298" s="91" t="s">
        <v>58</v>
      </c>
      <c r="M298" s="90" t="s">
        <v>109</v>
      </c>
      <c r="N298" s="91"/>
      <c r="O298" s="91" t="s">
        <v>58</v>
      </c>
      <c r="P298" s="90"/>
      <c r="Q298" s="91"/>
      <c r="R298" s="89"/>
      <c r="S298" s="91" t="s">
        <v>58</v>
      </c>
      <c r="T298" s="90"/>
      <c r="U298" s="91"/>
      <c r="V298" s="91" t="s">
        <v>58</v>
      </c>
      <c r="W298" s="90"/>
      <c r="X298" s="89"/>
      <c r="Y298" s="91" t="s">
        <v>58</v>
      </c>
      <c r="Z298" s="90"/>
      <c r="AA298" s="89"/>
      <c r="AB298" s="88"/>
      <c r="AD298" s="37"/>
      <c r="AI298" s="79"/>
      <c r="AK298" s="36"/>
      <c r="AM298" s="37"/>
      <c r="AQ298" s="53"/>
      <c r="AR298" s="53"/>
      <c r="AS298" s="53"/>
      <c r="AV298" s="36"/>
      <c r="AX298" s="37"/>
      <c r="BB298" s="53"/>
      <c r="BC298" s="53"/>
      <c r="BD298" s="53"/>
      <c r="BG298" s="36"/>
      <c r="BI298" s="21"/>
      <c r="BJ298" s="19"/>
      <c r="BK298" s="19"/>
      <c r="BL298" s="19"/>
      <c r="BM298" s="46"/>
      <c r="BN298" s="46"/>
      <c r="BO298" s="46"/>
      <c r="BP298" s="19"/>
      <c r="BQ298" s="19"/>
      <c r="BR298" s="18"/>
    </row>
    <row r="299" spans="1:70" ht="43.2" x14ac:dyDescent="0.3">
      <c r="B299">
        <v>514</v>
      </c>
      <c r="C299" s="87" t="s">
        <v>108</v>
      </c>
      <c r="D299" s="25" t="s">
        <v>107</v>
      </c>
      <c r="E299" t="s">
        <v>106</v>
      </c>
      <c r="F299" s="53">
        <f>ROUNDUP(K301*K303/60,0)</f>
        <v>25</v>
      </c>
      <c r="G299" s="53">
        <v>0</v>
      </c>
      <c r="H299" s="86">
        <f t="shared" si="0"/>
        <v>25</v>
      </c>
      <c r="I299" s="9" t="s">
        <v>38</v>
      </c>
      <c r="J299" s="9">
        <f>J297*J295</f>
        <v>2936.4621999999999</v>
      </c>
      <c r="K299" s="9" t="s">
        <v>37</v>
      </c>
      <c r="L299" s="9" t="s">
        <v>38</v>
      </c>
      <c r="M299" s="9">
        <f>M297*J295</f>
        <v>0</v>
      </c>
      <c r="N299" s="9" t="s">
        <v>37</v>
      </c>
      <c r="O299" s="9" t="s">
        <v>38</v>
      </c>
      <c r="P299" s="9">
        <f>P297*J295</f>
        <v>0</v>
      </c>
      <c r="Q299" s="9" t="s">
        <v>37</v>
      </c>
      <c r="R299" s="9" t="s">
        <v>37</v>
      </c>
      <c r="S299" s="9" t="s">
        <v>38</v>
      </c>
      <c r="T299" s="9">
        <f>T297*J295</f>
        <v>0</v>
      </c>
      <c r="U299" s="9" t="s">
        <v>37</v>
      </c>
      <c r="V299" s="9" t="s">
        <v>38</v>
      </c>
      <c r="W299" s="9">
        <f>W297*S295</f>
        <v>0</v>
      </c>
      <c r="X299" s="9" t="s">
        <v>37</v>
      </c>
      <c r="Y299" s="9" t="s">
        <v>38</v>
      </c>
      <c r="Z299" s="9">
        <f>Z297*S295</f>
        <v>0</v>
      </c>
      <c r="AA299" s="9" t="s">
        <v>37</v>
      </c>
      <c r="AD299" s="37"/>
      <c r="AE299" t="s">
        <v>68</v>
      </c>
      <c r="AF299" s="85">
        <v>8.25</v>
      </c>
      <c r="AG299" s="59" t="s">
        <v>39</v>
      </c>
      <c r="AH299" s="59"/>
      <c r="AK299" s="36"/>
      <c r="AM299" s="186" t="s">
        <v>105</v>
      </c>
      <c r="AN299" s="187"/>
      <c r="AO299" s="187"/>
      <c r="AP299" s="187"/>
      <c r="AQ299" s="187"/>
      <c r="AR299" s="187"/>
      <c r="AS299" s="187"/>
      <c r="AV299" s="36"/>
      <c r="AX299" s="186" t="s">
        <v>105</v>
      </c>
      <c r="AY299" s="187"/>
      <c r="AZ299" s="187"/>
      <c r="BA299" s="187"/>
      <c r="BB299" s="187"/>
      <c r="BC299" s="187"/>
      <c r="BD299" s="187"/>
      <c r="BG299" s="36"/>
      <c r="BI299" s="190" t="s">
        <v>103</v>
      </c>
      <c r="BJ299" s="191"/>
      <c r="BK299" s="191"/>
      <c r="BL299" s="191"/>
      <c r="BM299" s="191"/>
      <c r="BN299" s="191"/>
      <c r="BO299" s="191"/>
      <c r="BP299" s="19"/>
      <c r="BQ299" s="19"/>
      <c r="BR299" s="18"/>
    </row>
    <row r="300" spans="1:70" ht="29.4" x14ac:dyDescent="0.35">
      <c r="B300">
        <v>514</v>
      </c>
      <c r="C300" s="84">
        <v>10000</v>
      </c>
      <c r="D300" s="25" t="s">
        <v>102</v>
      </c>
      <c r="E300" t="s">
        <v>0</v>
      </c>
      <c r="F300" s="83">
        <f>ROUNDUP(MAX(F295/2400,(K301*K303/300)),0)</f>
        <v>9</v>
      </c>
      <c r="G300" s="82">
        <f>ROUNDUP(G295/2400,0)</f>
        <v>0</v>
      </c>
      <c r="H300" s="81">
        <f t="shared" si="0"/>
        <v>9</v>
      </c>
      <c r="I300" s="9" t="s">
        <v>54</v>
      </c>
      <c r="J300" s="33">
        <f>J299*1.1</f>
        <v>3230.10842</v>
      </c>
      <c r="K300" s="9" t="s">
        <v>37</v>
      </c>
      <c r="L300" s="9" t="s">
        <v>54</v>
      </c>
      <c r="M300" s="33">
        <f>M299*1.1</f>
        <v>0</v>
      </c>
      <c r="N300" s="9" t="s">
        <v>37</v>
      </c>
      <c r="O300" s="9" t="s">
        <v>54</v>
      </c>
      <c r="P300" s="33">
        <f>P299*1.1</f>
        <v>0</v>
      </c>
      <c r="Q300" s="9" t="s">
        <v>37</v>
      </c>
      <c r="R300" s="9" t="s">
        <v>37</v>
      </c>
      <c r="S300" s="9" t="s">
        <v>54</v>
      </c>
      <c r="T300" s="33">
        <f>T299*1.1</f>
        <v>0</v>
      </c>
      <c r="U300" s="9" t="s">
        <v>37</v>
      </c>
      <c r="V300" s="9" t="s">
        <v>54</v>
      </c>
      <c r="W300" s="33">
        <f>W299*1.1</f>
        <v>0</v>
      </c>
      <c r="X300" s="9" t="s">
        <v>37</v>
      </c>
      <c r="Y300" s="9" t="s">
        <v>54</v>
      </c>
      <c r="Z300" s="33">
        <f>Z299*1.1</f>
        <v>0</v>
      </c>
      <c r="AA300" s="9" t="s">
        <v>37</v>
      </c>
      <c r="AD300" s="37" t="s">
        <v>230</v>
      </c>
      <c r="AE300" s="53" t="s">
        <v>66</v>
      </c>
      <c r="AF300" s="80">
        <v>36</v>
      </c>
      <c r="AG300" t="s">
        <v>64</v>
      </c>
      <c r="AI300" s="79" t="s">
        <v>65</v>
      </c>
      <c r="AJ300" s="80">
        <v>0</v>
      </c>
      <c r="AK300" s="36" t="s">
        <v>64</v>
      </c>
      <c r="AM300" s="54"/>
      <c r="AN300" s="53"/>
      <c r="AO300" s="53" t="s">
        <v>69</v>
      </c>
      <c r="AP300" s="53" t="s">
        <v>101</v>
      </c>
      <c r="AQ300" s="53" t="s">
        <v>100</v>
      </c>
      <c r="AR300" s="53"/>
      <c r="AS300" s="53"/>
      <c r="AT300" s="79" t="s">
        <v>65</v>
      </c>
      <c r="AU300" s="80">
        <v>0</v>
      </c>
      <c r="AV300" s="36" t="s">
        <v>64</v>
      </c>
      <c r="AX300" s="54"/>
      <c r="AY300" s="53"/>
      <c r="AZ300" s="53" t="s">
        <v>69</v>
      </c>
      <c r="BA300" s="53" t="s">
        <v>101</v>
      </c>
      <c r="BB300" s="53" t="s">
        <v>100</v>
      </c>
      <c r="BC300" s="53"/>
      <c r="BD300" s="53"/>
      <c r="BE300" s="79" t="s">
        <v>65</v>
      </c>
      <c r="BF300" s="80">
        <v>0</v>
      </c>
      <c r="BG300" s="36" t="s">
        <v>64</v>
      </c>
      <c r="BI300" s="52"/>
      <c r="BJ300" s="46"/>
      <c r="BK300" s="46" t="s">
        <v>69</v>
      </c>
      <c r="BL300" s="46" t="s">
        <v>101</v>
      </c>
      <c r="BM300" s="46" t="s">
        <v>100</v>
      </c>
      <c r="BN300" s="46"/>
      <c r="BO300" s="46"/>
      <c r="BP300" s="45" t="s">
        <v>65</v>
      </c>
      <c r="BQ300" s="19">
        <v>2</v>
      </c>
      <c r="BR300" s="18" t="s">
        <v>64</v>
      </c>
    </row>
    <row r="301" spans="1:70" x14ac:dyDescent="0.3">
      <c r="I301" s="32" t="s">
        <v>99</v>
      </c>
      <c r="J301" s="12"/>
      <c r="K301" s="9">
        <f>1*J297+1*M297+1*P297+1*T297+1*W297+1*Z297</f>
        <v>292.04000000000002</v>
      </c>
      <c r="L301" s="9" t="s">
        <v>39</v>
      </c>
      <c r="AD301" s="37"/>
      <c r="AF301">
        <f>AF300/12</f>
        <v>3</v>
      </c>
      <c r="AG301" t="s">
        <v>39</v>
      </c>
      <c r="AI301" s="79"/>
      <c r="AK301" s="36"/>
      <c r="AM301" s="54"/>
      <c r="AN301" s="53" t="s">
        <v>68</v>
      </c>
      <c r="AO301" s="77">
        <v>8.7799999999999994</v>
      </c>
      <c r="AP301" s="53">
        <f>AO301/3</f>
        <v>2.9266666666666663</v>
      </c>
      <c r="AQ301" s="53">
        <f>AO301/6</f>
        <v>1.4633333333333332</v>
      </c>
      <c r="AR301" s="53"/>
      <c r="AS301" s="53"/>
      <c r="AT301" t="s">
        <v>64</v>
      </c>
      <c r="AV301" s="36"/>
      <c r="AX301" s="54"/>
      <c r="AY301" s="53" t="s">
        <v>68</v>
      </c>
      <c r="AZ301" s="77">
        <v>8.7799999999999994</v>
      </c>
      <c r="BA301" s="53">
        <f>AZ301/3</f>
        <v>2.9266666666666663</v>
      </c>
      <c r="BB301" s="53">
        <f>AZ301/6</f>
        <v>1.4633333333333332</v>
      </c>
      <c r="BC301" s="53"/>
      <c r="BD301" s="53"/>
      <c r="BE301" t="s">
        <v>64</v>
      </c>
      <c r="BG301" s="36"/>
      <c r="BI301" s="52"/>
      <c r="BJ301" s="46" t="s">
        <v>68</v>
      </c>
      <c r="BK301" s="46">
        <v>0</v>
      </c>
      <c r="BL301" s="46">
        <f>BK301/3</f>
        <v>0</v>
      </c>
      <c r="BM301" s="46">
        <f>BK301/6</f>
        <v>0</v>
      </c>
      <c r="BN301" s="46"/>
      <c r="BO301" s="46"/>
      <c r="BP301" s="19" t="s">
        <v>64</v>
      </c>
      <c r="BQ301" s="19"/>
      <c r="BR301" s="18"/>
    </row>
    <row r="302" spans="1:70" x14ac:dyDescent="0.3">
      <c r="I302" s="32" t="s">
        <v>98</v>
      </c>
      <c r="J302" s="11"/>
      <c r="K302" s="78">
        <f>J300+M300+P300+T300+W300+Z300</f>
        <v>3230.10842</v>
      </c>
      <c r="L302" s="9" t="s">
        <v>37</v>
      </c>
      <c r="AD302" s="37"/>
      <c r="AK302" s="36"/>
      <c r="AM302" s="54"/>
      <c r="AN302" s="53" t="s">
        <v>97</v>
      </c>
      <c r="AO302" s="77">
        <v>36</v>
      </c>
      <c r="AP302" s="73" t="s">
        <v>64</v>
      </c>
      <c r="AQ302" s="53"/>
      <c r="AR302" s="53"/>
      <c r="AS302" s="53"/>
      <c r="AT302" t="s">
        <v>64</v>
      </c>
      <c r="AV302" s="36"/>
      <c r="AX302" s="54"/>
      <c r="AY302" s="53" t="s">
        <v>97</v>
      </c>
      <c r="AZ302" s="77">
        <v>36</v>
      </c>
      <c r="BA302" s="73" t="s">
        <v>64</v>
      </c>
      <c r="BB302" s="53"/>
      <c r="BC302" s="53"/>
      <c r="BD302" s="53"/>
      <c r="BE302" t="s">
        <v>64</v>
      </c>
      <c r="BG302" s="36"/>
      <c r="BI302" s="52"/>
      <c r="BJ302" s="46" t="s">
        <v>97</v>
      </c>
      <c r="BK302" s="46">
        <v>0</v>
      </c>
      <c r="BL302" s="72" t="s">
        <v>64</v>
      </c>
      <c r="BM302" s="46"/>
      <c r="BN302" s="46"/>
      <c r="BO302" s="46"/>
      <c r="BP302" s="19" t="s">
        <v>64</v>
      </c>
      <c r="BQ302" s="19"/>
      <c r="BR302" s="18"/>
    </row>
    <row r="303" spans="1:70" x14ac:dyDescent="0.3">
      <c r="I303" s="32" t="s">
        <v>96</v>
      </c>
      <c r="J303" s="11"/>
      <c r="K303" s="76">
        <v>5</v>
      </c>
      <c r="L303" s="9"/>
      <c r="AD303" s="37"/>
      <c r="AK303" s="36"/>
      <c r="AM303" s="54"/>
      <c r="AN303" s="53"/>
      <c r="AO303" s="53">
        <f>AO302/12</f>
        <v>3</v>
      </c>
      <c r="AP303" s="73" t="s">
        <v>39</v>
      </c>
      <c r="AQ303" s="65">
        <f>AN307^2+AN310^2</f>
        <v>16.596933777777778</v>
      </c>
      <c r="AR303" s="53"/>
      <c r="AS303" s="65">
        <f>AN307^2+AO310^2</f>
        <v>10.172900444444444</v>
      </c>
      <c r="AT303" t="s">
        <v>64</v>
      </c>
      <c r="AV303" s="36"/>
      <c r="AX303" s="54"/>
      <c r="AY303" s="53"/>
      <c r="AZ303" s="53">
        <f>AZ302/12</f>
        <v>3</v>
      </c>
      <c r="BA303" s="73" t="s">
        <v>39</v>
      </c>
      <c r="BB303" s="65">
        <f>AY307^2+AY310^2</f>
        <v>16.596933777777778</v>
      </c>
      <c r="BC303" s="53"/>
      <c r="BD303" s="65">
        <f>AY307^2+AZ310^2</f>
        <v>10.172900444444444</v>
      </c>
      <c r="BE303" t="s">
        <v>64</v>
      </c>
      <c r="BG303" s="36"/>
      <c r="BI303" s="52"/>
      <c r="BJ303" s="46"/>
      <c r="BK303" s="46">
        <f>BK302/12</f>
        <v>0</v>
      </c>
      <c r="BL303" s="72" t="s">
        <v>39</v>
      </c>
      <c r="BM303" s="46">
        <f>BJ307^2+BJ310^2</f>
        <v>0</v>
      </c>
      <c r="BN303" s="46"/>
      <c r="BO303" s="64">
        <f>BJ307^2+BK310^2</f>
        <v>0</v>
      </c>
      <c r="BP303" s="19" t="s">
        <v>64</v>
      </c>
      <c r="BQ303" s="19"/>
      <c r="BR303" s="18"/>
    </row>
    <row r="304" spans="1:70" ht="43.2" x14ac:dyDescent="0.3">
      <c r="I304" s="74" t="s">
        <v>95</v>
      </c>
      <c r="J304" s="11"/>
      <c r="K304" s="75">
        <f>K302*K303</f>
        <v>16150.542100000001</v>
      </c>
      <c r="L304" s="9" t="s">
        <v>37</v>
      </c>
      <c r="N304" s="74" t="s">
        <v>340</v>
      </c>
      <c r="O304" s="30">
        <f>25*(18*(24*4))/144</f>
        <v>300</v>
      </c>
      <c r="P304" s="11" t="s">
        <v>44</v>
      </c>
      <c r="AD304" s="37"/>
      <c r="AG304">
        <f>SQRT((AG309)^2+(AE305)^2)</f>
        <v>8.7229957904380537</v>
      </c>
      <c r="AH304" t="s">
        <v>6</v>
      </c>
      <c r="AK304" s="36"/>
      <c r="AM304" s="54"/>
      <c r="AN304" s="53"/>
      <c r="AO304" s="53"/>
      <c r="AP304" s="73"/>
      <c r="AQ304" s="53"/>
      <c r="AR304" s="53"/>
      <c r="AS304" s="53"/>
      <c r="AV304" s="36"/>
      <c r="AX304" s="54"/>
      <c r="AY304" s="53"/>
      <c r="AZ304" s="53"/>
      <c r="BA304" s="73"/>
      <c r="BB304" s="53"/>
      <c r="BC304" s="53"/>
      <c r="BD304" s="53"/>
      <c r="BG304" s="36"/>
      <c r="BI304" s="52"/>
      <c r="BJ304" s="46"/>
      <c r="BK304" s="46"/>
      <c r="BL304" s="72"/>
      <c r="BM304" s="46"/>
      <c r="BN304" s="46"/>
      <c r="BO304" s="46"/>
      <c r="BP304" s="19"/>
      <c r="BQ304" s="19"/>
      <c r="BR304" s="18"/>
    </row>
    <row r="305" spans="9:70" x14ac:dyDescent="0.3">
      <c r="I305" s="71"/>
      <c r="AD305" s="37"/>
      <c r="AE305">
        <f>AF301-2*(AJ300/12+0.0833)</f>
        <v>2.8334000000000001</v>
      </c>
      <c r="AF305" t="s">
        <v>6</v>
      </c>
      <c r="AK305" s="36"/>
      <c r="AM305" s="54"/>
      <c r="AN305" s="53"/>
      <c r="AO305" s="53"/>
      <c r="AP305" s="53"/>
      <c r="AQ305" s="53"/>
      <c r="AR305" s="53"/>
      <c r="AS305" s="53"/>
      <c r="AU305">
        <v>1.1659999999999999</v>
      </c>
      <c r="AV305" s="36" t="s">
        <v>48</v>
      </c>
      <c r="AX305" s="54"/>
      <c r="AY305" s="53"/>
      <c r="AZ305" s="53"/>
      <c r="BA305" s="53"/>
      <c r="BB305" s="53"/>
      <c r="BC305" s="53"/>
      <c r="BD305" s="53"/>
      <c r="BF305">
        <v>1.1659999999999999</v>
      </c>
      <c r="BG305" s="36" t="s">
        <v>48</v>
      </c>
      <c r="BI305" s="52"/>
      <c r="BJ305" s="46"/>
      <c r="BK305" s="46"/>
      <c r="BL305" s="46"/>
      <c r="BM305" s="46"/>
      <c r="BN305" s="46"/>
      <c r="BO305" s="46"/>
      <c r="BP305" s="19"/>
      <c r="BQ305" s="19">
        <v>1.1659999999999999</v>
      </c>
      <c r="BR305" s="18" t="s">
        <v>48</v>
      </c>
    </row>
    <row r="306" spans="9:70" x14ac:dyDescent="0.3">
      <c r="I306" s="43" t="s">
        <v>94</v>
      </c>
      <c r="J306" s="42"/>
      <c r="K306" s="42">
        <f>(6+6)*60/144</f>
        <v>5</v>
      </c>
      <c r="L306" s="41" t="s">
        <v>44</v>
      </c>
      <c r="M306" s="43" t="s">
        <v>93</v>
      </c>
      <c r="N306" s="42"/>
      <c r="O306" s="42"/>
      <c r="P306" s="41"/>
      <c r="Q306" s="43" t="s">
        <v>92</v>
      </c>
      <c r="R306" s="42"/>
      <c r="S306" s="42"/>
      <c r="T306" s="41"/>
      <c r="AD306" s="37"/>
      <c r="AE306">
        <f>AE305*12</f>
        <v>34.000799999999998</v>
      </c>
      <c r="AK306" s="36"/>
      <c r="AM306" s="54"/>
      <c r="AN306" s="53"/>
      <c r="AO306" s="65">
        <f>SQRT(AS303)</f>
        <v>3.1894984628377614</v>
      </c>
      <c r="AP306" s="65"/>
      <c r="AQ306" s="53"/>
      <c r="AR306" s="65">
        <f>AM307</f>
        <v>4.0739334527920041</v>
      </c>
      <c r="AS306" s="53"/>
      <c r="AU306" s="8">
        <f>0.33*AU305*2</f>
        <v>0.76956000000000002</v>
      </c>
      <c r="AV306" s="36" t="s">
        <v>44</v>
      </c>
      <c r="AX306" s="54"/>
      <c r="AY306" s="53"/>
      <c r="AZ306" s="65">
        <f>SQRT(BD303)</f>
        <v>3.1894984628377614</v>
      </c>
      <c r="BA306" s="65"/>
      <c r="BB306" s="53"/>
      <c r="BC306" s="65">
        <f>AX307</f>
        <v>4.0739334527920041</v>
      </c>
      <c r="BD306" s="53"/>
      <c r="BF306" s="8">
        <f>0.33*BF305*2</f>
        <v>0.76956000000000002</v>
      </c>
      <c r="BG306" s="36" t="s">
        <v>44</v>
      </c>
      <c r="BI306" s="52"/>
      <c r="BJ306" s="46"/>
      <c r="BK306" s="64">
        <f>SQRT(BO303)</f>
        <v>0</v>
      </c>
      <c r="BL306" s="64"/>
      <c r="BM306" s="46"/>
      <c r="BN306" s="64">
        <f>BI307</f>
        <v>0</v>
      </c>
      <c r="BO306" s="46"/>
      <c r="BP306" s="19"/>
      <c r="BQ306" s="22">
        <f>0.33*BQ305*2</f>
        <v>0.76956000000000002</v>
      </c>
      <c r="BR306" s="18" t="s">
        <v>44</v>
      </c>
    </row>
    <row r="307" spans="9:70" x14ac:dyDescent="0.3">
      <c r="I307" s="37" t="s">
        <v>87</v>
      </c>
      <c r="K307">
        <v>0</v>
      </c>
      <c r="L307" s="36" t="s">
        <v>85</v>
      </c>
      <c r="M307" s="37" t="s">
        <v>91</v>
      </c>
      <c r="O307">
        <f>((5+5)*(56+90)/2)/144</f>
        <v>5.0694444444444446</v>
      </c>
      <c r="P307" s="36" t="s">
        <v>44</v>
      </c>
      <c r="Q307" s="37" t="s">
        <v>91</v>
      </c>
      <c r="S307">
        <f>((5+5)*(55)/144)</f>
        <v>3.8194444444444446</v>
      </c>
      <c r="T307" s="36" t="s">
        <v>44</v>
      </c>
      <c r="AD307" s="37"/>
      <c r="AK307" s="36"/>
      <c r="AM307" s="70">
        <f>SQRT(AQ303)</f>
        <v>4.0739334527920041</v>
      </c>
      <c r="AN307" s="69">
        <f>AO303-2*(AU300/12+0.083)</f>
        <v>2.8340000000000001</v>
      </c>
      <c r="AO307" s="53"/>
      <c r="AP307" s="53"/>
      <c r="AQ307" s="53"/>
      <c r="AR307" s="53"/>
      <c r="AS307" s="53"/>
      <c r="AU307">
        <v>7</v>
      </c>
      <c r="AV307" s="36" t="s">
        <v>48</v>
      </c>
      <c r="AX307" s="70">
        <f>SQRT(BB303)</f>
        <v>4.0739334527920041</v>
      </c>
      <c r="AY307" s="69">
        <f>AZ303-2*(BF300/12+0.083)</f>
        <v>2.8340000000000001</v>
      </c>
      <c r="AZ307" s="53"/>
      <c r="BA307" s="53"/>
      <c r="BB307" s="53"/>
      <c r="BC307" s="53"/>
      <c r="BD307" s="53"/>
      <c r="BF307">
        <v>7</v>
      </c>
      <c r="BG307" s="36" t="s">
        <v>48</v>
      </c>
      <c r="BI307" s="68">
        <f>SQRT(BM303)</f>
        <v>0</v>
      </c>
      <c r="BJ307" s="67">
        <f>BK303</f>
        <v>0</v>
      </c>
      <c r="BK307" s="46"/>
      <c r="BL307" s="46"/>
      <c r="BM307" s="46"/>
      <c r="BN307" s="46"/>
      <c r="BO307" s="46"/>
      <c r="BP307" s="19"/>
      <c r="BQ307" s="19">
        <v>7</v>
      </c>
      <c r="BR307" s="18" t="s">
        <v>48</v>
      </c>
    </row>
    <row r="308" spans="9:70" x14ac:dyDescent="0.3">
      <c r="I308" s="37" t="s">
        <v>80</v>
      </c>
      <c r="K308" s="3">
        <f>K306*K307</f>
        <v>0</v>
      </c>
      <c r="L308" s="36" t="s">
        <v>44</v>
      </c>
      <c r="M308" s="37" t="s">
        <v>87</v>
      </c>
      <c r="O308">
        <v>0</v>
      </c>
      <c r="P308" s="36" t="s">
        <v>85</v>
      </c>
      <c r="Q308" s="37" t="s">
        <v>87</v>
      </c>
      <c r="S308">
        <v>0</v>
      </c>
      <c r="T308" s="36" t="s">
        <v>85</v>
      </c>
      <c r="AD308" s="37"/>
      <c r="AK308" s="36"/>
      <c r="AM308" s="54"/>
      <c r="AN308" s="53"/>
      <c r="AO308" s="53"/>
      <c r="AP308" s="53"/>
      <c r="AQ308" s="53"/>
      <c r="AR308" s="53"/>
      <c r="AS308" s="53"/>
      <c r="AU308" s="8">
        <f>0.33*AU307*2</f>
        <v>4.62</v>
      </c>
      <c r="AV308" s="36" t="s">
        <v>44</v>
      </c>
      <c r="AX308" s="54"/>
      <c r="AY308" s="53"/>
      <c r="AZ308" s="53"/>
      <c r="BA308" s="53"/>
      <c r="BB308" s="53"/>
      <c r="BC308" s="53"/>
      <c r="BD308" s="53"/>
      <c r="BF308" s="8">
        <f>0.33*BF307*2</f>
        <v>4.62</v>
      </c>
      <c r="BG308" s="36" t="s">
        <v>44</v>
      </c>
      <c r="BI308" s="52"/>
      <c r="BJ308" s="46"/>
      <c r="BK308" s="46"/>
      <c r="BL308" s="46"/>
      <c r="BM308" s="46"/>
      <c r="BN308" s="46"/>
      <c r="BO308" s="46"/>
      <c r="BP308" s="19"/>
      <c r="BQ308" s="22">
        <f>0.33*BQ307*2</f>
        <v>4.62</v>
      </c>
      <c r="BR308" s="18" t="s">
        <v>44</v>
      </c>
    </row>
    <row r="309" spans="9:70" x14ac:dyDescent="0.3">
      <c r="I309" s="35" t="s">
        <v>78</v>
      </c>
      <c r="J309" s="6"/>
      <c r="K309" s="6"/>
      <c r="L309" s="34"/>
      <c r="M309" s="35" t="s">
        <v>80</v>
      </c>
      <c r="N309" s="6"/>
      <c r="O309" s="66">
        <f>O307*O308</f>
        <v>0</v>
      </c>
      <c r="P309" s="34" t="s">
        <v>44</v>
      </c>
      <c r="Q309" s="35" t="s">
        <v>80</v>
      </c>
      <c r="R309" s="6"/>
      <c r="S309" s="66">
        <f>S307*S308</f>
        <v>0</v>
      </c>
      <c r="T309" s="34" t="s">
        <v>44</v>
      </c>
      <c r="AD309" s="37"/>
      <c r="AG309" s="59">
        <f>AF299</f>
        <v>8.25</v>
      </c>
      <c r="AK309" s="36"/>
      <c r="AM309" s="54"/>
      <c r="AN309" s="53"/>
      <c r="AO309" s="53"/>
      <c r="AP309" s="53"/>
      <c r="AQ309" s="53"/>
      <c r="AR309" s="53"/>
      <c r="AS309" s="53"/>
      <c r="AV309" s="36"/>
      <c r="AX309" s="54"/>
      <c r="AY309" s="53"/>
      <c r="AZ309" s="53"/>
      <c r="BA309" s="53"/>
      <c r="BB309" s="53"/>
      <c r="BC309" s="53"/>
      <c r="BD309" s="53"/>
      <c r="BG309" s="36"/>
      <c r="BI309" s="52"/>
      <c r="BJ309" s="46"/>
      <c r="BK309" s="46"/>
      <c r="BL309" s="46"/>
      <c r="BM309" s="46"/>
      <c r="BN309" s="46"/>
      <c r="BO309" s="46"/>
      <c r="BP309" s="19"/>
      <c r="BQ309" s="19"/>
      <c r="BR309" s="18"/>
    </row>
    <row r="310" spans="9:70" x14ac:dyDescent="0.3">
      <c r="AD310" s="37"/>
      <c r="AK310" s="36"/>
      <c r="AM310" s="54"/>
      <c r="AN310" s="65">
        <f>AO301/3</f>
        <v>2.9266666666666663</v>
      </c>
      <c r="AO310" s="65">
        <f>AN310/2</f>
        <v>1.4633333333333332</v>
      </c>
      <c r="AP310" s="53"/>
      <c r="AQ310" s="53"/>
      <c r="AR310" s="53"/>
      <c r="AS310" s="53"/>
      <c r="AV310" s="36"/>
      <c r="AX310" s="54"/>
      <c r="AY310" s="65">
        <f>AZ301/3</f>
        <v>2.9266666666666663</v>
      </c>
      <c r="AZ310" s="65">
        <f>AY310/2</f>
        <v>1.4633333333333332</v>
      </c>
      <c r="BA310" s="53"/>
      <c r="BB310" s="53"/>
      <c r="BC310" s="53"/>
      <c r="BD310" s="53"/>
      <c r="BG310" s="36"/>
      <c r="BI310" s="52"/>
      <c r="BJ310" s="64">
        <f>BK301/3</f>
        <v>0</v>
      </c>
      <c r="BK310" s="64">
        <f>BJ310/2</f>
        <v>0</v>
      </c>
      <c r="BL310" s="46"/>
      <c r="BM310" s="46"/>
      <c r="BN310" s="46"/>
      <c r="BO310" s="46"/>
      <c r="BP310" s="19"/>
      <c r="BQ310" s="19"/>
      <c r="BR310" s="18"/>
    </row>
    <row r="311" spans="9:70" x14ac:dyDescent="0.3">
      <c r="I311" s="43" t="s">
        <v>90</v>
      </c>
      <c r="J311" s="42"/>
      <c r="K311" s="63">
        <f>(8+8)*60/144</f>
        <v>6.666666666666667</v>
      </c>
      <c r="L311" s="41" t="s">
        <v>44</v>
      </c>
      <c r="M311" s="43" t="s">
        <v>89</v>
      </c>
      <c r="N311" s="42"/>
      <c r="O311" s="42">
        <f>(8+8)*60/144</f>
        <v>6.666666666666667</v>
      </c>
      <c r="P311" s="41" t="s">
        <v>44</v>
      </c>
      <c r="Q311" s="43" t="s">
        <v>88</v>
      </c>
      <c r="R311" s="42"/>
      <c r="S311" s="42">
        <f>PI()*(0.67)*8</f>
        <v>16.838936623241292</v>
      </c>
      <c r="T311" s="41" t="s">
        <v>44</v>
      </c>
      <c r="AD311" s="37" t="s">
        <v>49</v>
      </c>
      <c r="AG311" s="59">
        <f>(1*AG309)+(2*AG304)</f>
        <v>25.695991580876107</v>
      </c>
      <c r="AH311" t="s">
        <v>48</v>
      </c>
      <c r="AK311" s="36"/>
      <c r="AM311" s="51"/>
      <c r="AN311" s="50"/>
      <c r="AO311" s="50"/>
      <c r="AP311" s="50"/>
      <c r="AQ311" s="50"/>
      <c r="AR311" s="50"/>
      <c r="AS311" s="50"/>
      <c r="AT311" s="6"/>
      <c r="AU311" s="6"/>
      <c r="AV311" s="34"/>
      <c r="AX311" s="51"/>
      <c r="AY311" s="50"/>
      <c r="AZ311" s="50"/>
      <c r="BA311" s="50"/>
      <c r="BB311" s="50"/>
      <c r="BC311" s="50"/>
      <c r="BD311" s="50"/>
      <c r="BE311" s="6"/>
      <c r="BF311" s="6"/>
      <c r="BG311" s="34"/>
      <c r="BI311" s="49"/>
      <c r="BJ311" s="48"/>
      <c r="BK311" s="48"/>
      <c r="BL311" s="48"/>
      <c r="BM311" s="48"/>
      <c r="BN311" s="48"/>
      <c r="BO311" s="48"/>
      <c r="BP311" s="16"/>
      <c r="BQ311" s="16"/>
      <c r="BR311" s="15"/>
    </row>
    <row r="312" spans="9:70" x14ac:dyDescent="0.3">
      <c r="I312" s="37" t="s">
        <v>87</v>
      </c>
      <c r="K312">
        <v>20</v>
      </c>
      <c r="L312" s="36" t="s">
        <v>85</v>
      </c>
      <c r="M312" s="37" t="s">
        <v>87</v>
      </c>
      <c r="O312">
        <v>30</v>
      </c>
      <c r="P312" s="36" t="s">
        <v>85</v>
      </c>
      <c r="Q312" s="37" t="s">
        <v>86</v>
      </c>
      <c r="S312">
        <v>0</v>
      </c>
      <c r="T312" s="36" t="s">
        <v>85</v>
      </c>
      <c r="AD312" s="37"/>
      <c r="AK312" s="36"/>
      <c r="AM312" s="58"/>
      <c r="AN312" s="57"/>
      <c r="AO312" s="57" t="s">
        <v>82</v>
      </c>
      <c r="AP312" s="62" t="s">
        <v>339</v>
      </c>
      <c r="AQ312" s="57"/>
      <c r="AR312" s="57"/>
      <c r="AS312" s="57"/>
      <c r="AT312" s="42"/>
      <c r="AU312" s="42"/>
      <c r="AV312" s="41"/>
      <c r="AX312" s="58"/>
      <c r="AY312" s="57"/>
      <c r="AZ312" s="57" t="s">
        <v>82</v>
      </c>
      <c r="BA312" s="62" t="s">
        <v>339</v>
      </c>
      <c r="BB312" s="57"/>
      <c r="BC312" s="57"/>
      <c r="BD312" s="57"/>
      <c r="BE312" s="42"/>
      <c r="BF312" s="42"/>
      <c r="BG312" s="41"/>
      <c r="BI312" s="56"/>
      <c r="BJ312" s="55"/>
      <c r="BK312" s="55" t="s">
        <v>82</v>
      </c>
      <c r="BL312" s="61" t="s">
        <v>81</v>
      </c>
      <c r="BM312" s="55"/>
      <c r="BN312" s="55"/>
      <c r="BO312" s="55"/>
      <c r="BP312" s="39"/>
      <c r="BQ312" s="39"/>
      <c r="BR312" s="38"/>
    </row>
    <row r="313" spans="9:70" x14ac:dyDescent="0.3">
      <c r="I313" s="37" t="s">
        <v>80</v>
      </c>
      <c r="K313" s="3">
        <f>K311*K312</f>
        <v>133.33333333333334</v>
      </c>
      <c r="L313" s="36" t="s">
        <v>44</v>
      </c>
      <c r="M313" s="37" t="s">
        <v>80</v>
      </c>
      <c r="O313" s="3">
        <f>O311*O312</f>
        <v>200</v>
      </c>
      <c r="P313" s="36" t="s">
        <v>44</v>
      </c>
      <c r="Q313" s="37" t="s">
        <v>80</v>
      </c>
      <c r="S313" s="3">
        <f>S311*S312</f>
        <v>0</v>
      </c>
      <c r="T313" s="36" t="s">
        <v>44</v>
      </c>
      <c r="AD313" s="60" t="s">
        <v>79</v>
      </c>
      <c r="AG313" s="8">
        <f>0.3333*4*AG311</f>
        <v>34.257895975624024</v>
      </c>
      <c r="AH313" t="s">
        <v>44</v>
      </c>
      <c r="AK313" s="36"/>
      <c r="AM313" s="51"/>
      <c r="AN313" s="50"/>
      <c r="AO313" s="50"/>
      <c r="AP313" s="50">
        <f>AO301+(2*AM307)+(2*AO306)</f>
        <v>23.30686383125953</v>
      </c>
      <c r="AQ313" s="50" t="s">
        <v>39</v>
      </c>
      <c r="AR313" s="50"/>
      <c r="AS313" s="50"/>
      <c r="AT313" s="6"/>
      <c r="AU313" s="6"/>
      <c r="AV313" s="34"/>
      <c r="AX313" s="51"/>
      <c r="AY313" s="50"/>
      <c r="AZ313" s="50"/>
      <c r="BA313" s="50">
        <f>AZ301+(2*AX307)+(2*AZ306)</f>
        <v>23.30686383125953</v>
      </c>
      <c r="BB313" s="50" t="s">
        <v>39</v>
      </c>
      <c r="BC313" s="50"/>
      <c r="BD313" s="50"/>
      <c r="BE313" s="6"/>
      <c r="BF313" s="6"/>
      <c r="BG313" s="34"/>
      <c r="BI313" s="49"/>
      <c r="BJ313" s="48"/>
      <c r="BK313" s="48"/>
      <c r="BL313" s="48">
        <f>BK301+(2*BI307)+(2*BK306)+BJ307</f>
        <v>0</v>
      </c>
      <c r="BM313" s="48" t="s">
        <v>39</v>
      </c>
      <c r="BN313" s="48"/>
      <c r="BO313" s="48"/>
      <c r="BP313" s="16"/>
      <c r="BQ313" s="16"/>
      <c r="BR313" s="15"/>
    </row>
    <row r="314" spans="9:70" x14ac:dyDescent="0.3">
      <c r="I314" s="35" t="s">
        <v>78</v>
      </c>
      <c r="J314" s="6"/>
      <c r="K314" s="6"/>
      <c r="L314" s="34"/>
      <c r="M314" s="35"/>
      <c r="N314" s="6"/>
      <c r="O314" s="6"/>
      <c r="P314" s="34"/>
      <c r="Q314" s="35"/>
      <c r="R314" s="6"/>
      <c r="S314" s="6"/>
      <c r="T314" s="34"/>
      <c r="AD314" s="37" t="s">
        <v>46</v>
      </c>
      <c r="AF314" t="s">
        <v>45</v>
      </c>
      <c r="AG314" s="59">
        <f>AG313*1.1</f>
        <v>37.68368557318643</v>
      </c>
      <c r="AH314" t="s">
        <v>44</v>
      </c>
      <c r="AK314" s="36"/>
      <c r="AM314" s="58"/>
      <c r="AN314" s="57"/>
      <c r="AO314" s="57"/>
      <c r="AP314" s="57"/>
      <c r="AQ314" s="57"/>
      <c r="AR314" s="57"/>
      <c r="AS314" s="57"/>
      <c r="AT314" s="42"/>
      <c r="AU314" s="42"/>
      <c r="AV314" s="41"/>
      <c r="AX314" s="58"/>
      <c r="AY314" s="57"/>
      <c r="AZ314" s="57"/>
      <c r="BA314" s="57"/>
      <c r="BB314" s="57"/>
      <c r="BC314" s="57"/>
      <c r="BD314" s="57"/>
      <c r="BE314" s="42"/>
      <c r="BF314" s="42"/>
      <c r="BG314" s="41"/>
      <c r="BI314" s="56"/>
      <c r="BJ314" s="55"/>
      <c r="BK314" s="55"/>
      <c r="BL314" s="55"/>
      <c r="BM314" s="55"/>
      <c r="BN314" s="55"/>
      <c r="BO314" s="55"/>
      <c r="BP314" s="39"/>
      <c r="BQ314" s="39"/>
      <c r="BR314" s="38"/>
    </row>
    <row r="315" spans="9:70" x14ac:dyDescent="0.3">
      <c r="AD315" s="35"/>
      <c r="AE315" s="6"/>
      <c r="AF315" s="6"/>
      <c r="AG315" s="6"/>
      <c r="AH315" s="6"/>
      <c r="AI315" s="6"/>
      <c r="AJ315" s="6"/>
      <c r="AK315" s="34"/>
      <c r="AM315" s="54"/>
      <c r="AN315" s="53" t="s">
        <v>77</v>
      </c>
      <c r="AO315" s="53"/>
      <c r="AP315" s="53">
        <f>AP313*(0.3333*4)</f>
        <v>31.072710859835205</v>
      </c>
      <c r="AQ315" s="53" t="s">
        <v>44</v>
      </c>
      <c r="AR315" s="53"/>
      <c r="AS315" s="53"/>
      <c r="AV315" s="36"/>
      <c r="AX315" s="54"/>
      <c r="AY315" s="53" t="s">
        <v>77</v>
      </c>
      <c r="AZ315" s="53"/>
      <c r="BA315" s="53">
        <f>BA313*(0.3333*4)</f>
        <v>31.072710859835205</v>
      </c>
      <c r="BB315" s="53" t="s">
        <v>44</v>
      </c>
      <c r="BC315" s="53"/>
      <c r="BD315" s="53"/>
      <c r="BG315" s="36"/>
      <c r="BI315" s="52"/>
      <c r="BJ315" s="46" t="s">
        <v>77</v>
      </c>
      <c r="BK315" s="46"/>
      <c r="BL315" s="46">
        <f>BL313*(0.3333*4)</f>
        <v>0</v>
      </c>
      <c r="BM315" s="46" t="s">
        <v>44</v>
      </c>
      <c r="BN315" s="46"/>
      <c r="BO315" s="46"/>
      <c r="BP315" s="19"/>
      <c r="BQ315" s="19"/>
      <c r="BR315" s="18"/>
    </row>
    <row r="316" spans="9:70" ht="15" customHeight="1" x14ac:dyDescent="0.3">
      <c r="I316" s="9" t="s">
        <v>62</v>
      </c>
      <c r="J316" s="9">
        <v>1</v>
      </c>
      <c r="K316" s="9" t="s">
        <v>39</v>
      </c>
      <c r="L316" s="9" t="s">
        <v>62</v>
      </c>
      <c r="M316" s="9">
        <f>16/12</f>
        <v>1.3333333333333333</v>
      </c>
      <c r="N316" s="9" t="s">
        <v>39</v>
      </c>
      <c r="O316" s="9" t="s">
        <v>62</v>
      </c>
      <c r="P316" s="9">
        <f>16/12</f>
        <v>1.3333333333333333</v>
      </c>
      <c r="Q316" s="9" t="s">
        <v>39</v>
      </c>
      <c r="R316" s="9" t="s">
        <v>62</v>
      </c>
      <c r="S316" s="9">
        <f>16/12</f>
        <v>1.3333333333333333</v>
      </c>
      <c r="T316" s="9" t="s">
        <v>39</v>
      </c>
      <c r="AM316" s="51"/>
      <c r="AN316" s="50" t="s">
        <v>76</v>
      </c>
      <c r="AO316" s="50"/>
      <c r="AP316" s="50"/>
      <c r="AQ316" s="50"/>
      <c r="AR316" s="50"/>
      <c r="AS316" s="50"/>
      <c r="AT316" s="6"/>
      <c r="AU316" s="6"/>
      <c r="AV316" s="34"/>
      <c r="AX316" s="51"/>
      <c r="AY316" s="50" t="s">
        <v>76</v>
      </c>
      <c r="AZ316" s="50"/>
      <c r="BA316" s="50"/>
      <c r="BB316" s="50"/>
      <c r="BC316" s="50"/>
      <c r="BD316" s="50"/>
      <c r="BE316" s="6"/>
      <c r="BF316" s="6"/>
      <c r="BG316" s="34"/>
      <c r="BI316" s="49"/>
      <c r="BJ316" s="48" t="s">
        <v>76</v>
      </c>
      <c r="BK316" s="48"/>
      <c r="BL316" s="48"/>
      <c r="BM316" s="48"/>
      <c r="BN316" s="48"/>
      <c r="BO316" s="48"/>
      <c r="BP316" s="16"/>
      <c r="BQ316" s="16"/>
      <c r="BR316" s="15"/>
    </row>
    <row r="317" spans="9:70" x14ac:dyDescent="0.3">
      <c r="I317" s="9" t="s">
        <v>40</v>
      </c>
      <c r="J317" s="44">
        <f>AG311</f>
        <v>25.695991580876107</v>
      </c>
      <c r="K317" s="9" t="s">
        <v>39</v>
      </c>
      <c r="L317" s="9" t="s">
        <v>40</v>
      </c>
      <c r="M317" s="9">
        <f>AP313</f>
        <v>23.30686383125953</v>
      </c>
      <c r="N317" s="9" t="s">
        <v>39</v>
      </c>
      <c r="O317" s="9" t="s">
        <v>40</v>
      </c>
      <c r="P317" s="9">
        <f>BA313</f>
        <v>23.30686383125953</v>
      </c>
      <c r="Q317" s="9" t="s">
        <v>39</v>
      </c>
      <c r="R317" s="9" t="s">
        <v>40</v>
      </c>
      <c r="S317" s="9">
        <f>BL313</f>
        <v>0</v>
      </c>
      <c r="T317" s="9" t="s">
        <v>39</v>
      </c>
      <c r="AM317" s="43"/>
      <c r="AN317" s="42"/>
      <c r="AO317" s="42"/>
      <c r="AP317" s="42"/>
      <c r="AQ317" s="42"/>
      <c r="AR317" s="42"/>
      <c r="AS317" s="42"/>
      <c r="AT317" s="42"/>
      <c r="AU317" s="42"/>
      <c r="AV317" s="41"/>
      <c r="AX317" s="43"/>
      <c r="AY317" s="42"/>
      <c r="AZ317" s="42"/>
      <c r="BA317" s="42"/>
      <c r="BB317" s="42"/>
      <c r="BC317" s="42"/>
      <c r="BD317" s="42"/>
      <c r="BE317" s="42"/>
      <c r="BF317" s="42"/>
      <c r="BG317" s="41"/>
      <c r="BI317" s="40"/>
      <c r="BJ317" s="39"/>
      <c r="BK317" s="39"/>
      <c r="BL317" s="39"/>
      <c r="BM317" s="39"/>
      <c r="BN317" s="39"/>
      <c r="BO317" s="39"/>
      <c r="BP317" s="39"/>
      <c r="BQ317" s="39"/>
      <c r="BR317" s="38"/>
    </row>
    <row r="318" spans="9:70" x14ac:dyDescent="0.3">
      <c r="I318" s="9" t="s">
        <v>58</v>
      </c>
      <c r="J318" s="32" t="s">
        <v>75</v>
      </c>
      <c r="K318" s="11"/>
      <c r="L318" s="9" t="s">
        <v>58</v>
      </c>
      <c r="M318" s="32" t="s">
        <v>74</v>
      </c>
      <c r="N318" s="11"/>
      <c r="O318" s="9" t="s">
        <v>58</v>
      </c>
      <c r="P318" s="32" t="s">
        <v>73</v>
      </c>
      <c r="Q318" s="11"/>
      <c r="R318" s="9" t="s">
        <v>58</v>
      </c>
      <c r="S318" s="32" t="s">
        <v>72</v>
      </c>
      <c r="T318" s="11"/>
      <c r="AD318" s="40"/>
      <c r="AE318" s="47" t="s">
        <v>71</v>
      </c>
      <c r="AF318" s="39"/>
      <c r="AG318" s="39"/>
      <c r="AH318" s="39"/>
      <c r="AI318" s="39"/>
      <c r="AJ318" s="39"/>
      <c r="AK318" s="38"/>
      <c r="AM318" s="37"/>
      <c r="AN318" s="188" t="s">
        <v>70</v>
      </c>
      <c r="AV318" s="36"/>
      <c r="AX318" s="37"/>
      <c r="AY318" s="188" t="s">
        <v>70</v>
      </c>
      <c r="BG318" s="36"/>
      <c r="BI318" s="21"/>
      <c r="BJ318" s="192" t="s">
        <v>70</v>
      </c>
      <c r="BK318" s="19"/>
      <c r="BL318" s="19"/>
      <c r="BM318" s="19"/>
      <c r="BN318" s="19"/>
      <c r="BO318" s="19"/>
      <c r="BP318" s="19"/>
      <c r="BQ318" s="19"/>
      <c r="BR318" s="18"/>
    </row>
    <row r="319" spans="9:70" x14ac:dyDescent="0.3">
      <c r="I319" s="9" t="s">
        <v>55</v>
      </c>
      <c r="J319" s="32">
        <f>30*4+16</f>
        <v>136</v>
      </c>
      <c r="K319" s="11"/>
      <c r="L319" s="9" t="s">
        <v>55</v>
      </c>
      <c r="M319" s="32">
        <v>4</v>
      </c>
      <c r="N319" s="11"/>
      <c r="O319" s="9" t="s">
        <v>55</v>
      </c>
      <c r="P319" s="32">
        <v>4</v>
      </c>
      <c r="Q319" s="11"/>
      <c r="R319" s="9" t="s">
        <v>55</v>
      </c>
      <c r="S319" s="32">
        <v>0</v>
      </c>
      <c r="T319" s="11"/>
      <c r="AD319" s="21"/>
      <c r="AE319" s="19"/>
      <c r="AF319" s="19" t="s">
        <v>69</v>
      </c>
      <c r="AG319" s="19"/>
      <c r="AH319" s="19"/>
      <c r="AI319" s="19"/>
      <c r="AJ319" s="19"/>
      <c r="AK319" s="19"/>
      <c r="AM319" s="37"/>
      <c r="AN319" s="188"/>
      <c r="AP319">
        <f>AT297*AP313</f>
        <v>191.11628341632814</v>
      </c>
      <c r="AQ319" t="s">
        <v>52</v>
      </c>
      <c r="AV319" s="36"/>
      <c r="AX319" s="37"/>
      <c r="AY319" s="188"/>
      <c r="BA319">
        <f>BE297*BA313</f>
        <v>191.11628341632814</v>
      </c>
      <c r="BB319" t="s">
        <v>52</v>
      </c>
      <c r="BG319" s="36"/>
      <c r="BI319" s="21"/>
      <c r="BJ319" s="192"/>
      <c r="BK319" s="19"/>
      <c r="BL319" s="19">
        <f>BP297*BL313</f>
        <v>0</v>
      </c>
      <c r="BM319" s="19" t="s">
        <v>52</v>
      </c>
      <c r="BN319" s="19"/>
      <c r="BO319" s="19"/>
      <c r="BP319" s="19"/>
      <c r="BQ319" s="19"/>
      <c r="BR319" s="18"/>
    </row>
    <row r="320" spans="9:70" x14ac:dyDescent="0.3">
      <c r="I320" s="9" t="s">
        <v>38</v>
      </c>
      <c r="J320" s="9">
        <f>J317*J316*J319</f>
        <v>3494.6548549991508</v>
      </c>
      <c r="K320" s="9" t="s">
        <v>37</v>
      </c>
      <c r="L320" s="9" t="s">
        <v>38</v>
      </c>
      <c r="M320" s="9">
        <f>M317*M316*M319</f>
        <v>124.3032737667175</v>
      </c>
      <c r="N320" s="9" t="s">
        <v>37</v>
      </c>
      <c r="O320" s="9" t="s">
        <v>38</v>
      </c>
      <c r="P320" s="9">
        <f>P317*P316*P319</f>
        <v>124.3032737667175</v>
      </c>
      <c r="Q320" s="9" t="s">
        <v>37</v>
      </c>
      <c r="R320" s="9" t="s">
        <v>38</v>
      </c>
      <c r="S320" s="9">
        <f>S317*S316*S319</f>
        <v>0</v>
      </c>
      <c r="T320" s="9" t="s">
        <v>37</v>
      </c>
      <c r="AD320" s="21"/>
      <c r="AE320" s="19"/>
      <c r="AF320" s="19"/>
      <c r="AG320" s="19"/>
      <c r="AH320" s="19"/>
      <c r="AI320" s="45"/>
      <c r="AJ320" s="19"/>
      <c r="AK320" s="18"/>
      <c r="AM320" s="35"/>
      <c r="AN320" s="189"/>
      <c r="AO320" s="6"/>
      <c r="AP320" s="6"/>
      <c r="AQ320" s="6"/>
      <c r="AR320" s="6"/>
      <c r="AS320" s="6"/>
      <c r="AT320" s="6"/>
      <c r="AU320" s="6"/>
      <c r="AV320" s="34"/>
      <c r="AX320" s="35"/>
      <c r="AY320" s="189"/>
      <c r="AZ320" s="6"/>
      <c r="BA320" s="6"/>
      <c r="BB320" s="6"/>
      <c r="BC320" s="6"/>
      <c r="BD320" s="6"/>
      <c r="BE320" s="6"/>
      <c r="BF320" s="6"/>
      <c r="BG320" s="34"/>
      <c r="BI320" s="17"/>
      <c r="BJ320" s="193"/>
      <c r="BK320" s="16"/>
      <c r="BL320" s="16"/>
      <c r="BM320" s="16"/>
      <c r="BN320" s="16"/>
      <c r="BO320" s="16"/>
      <c r="BP320" s="16"/>
      <c r="BQ320" s="16"/>
      <c r="BR320" s="15"/>
    </row>
    <row r="321" spans="9:70" x14ac:dyDescent="0.3">
      <c r="I321" s="9" t="s">
        <v>54</v>
      </c>
      <c r="J321" s="33">
        <f>J320*1.1</f>
        <v>3844.1203404990661</v>
      </c>
      <c r="K321" s="9" t="s">
        <v>37</v>
      </c>
      <c r="L321" s="9" t="s">
        <v>54</v>
      </c>
      <c r="M321" s="33">
        <f>M320*1.1</f>
        <v>136.73360114338925</v>
      </c>
      <c r="N321" s="9" t="s">
        <v>37</v>
      </c>
      <c r="O321" s="9" t="s">
        <v>54</v>
      </c>
      <c r="P321" s="33">
        <f>P320*1.1</f>
        <v>136.73360114338925</v>
      </c>
      <c r="Q321" s="9" t="s">
        <v>37</v>
      </c>
      <c r="R321" s="9" t="s">
        <v>54</v>
      </c>
      <c r="S321" s="33">
        <f>S320*1.1</f>
        <v>0</v>
      </c>
      <c r="T321" s="9" t="s">
        <v>37</v>
      </c>
      <c r="AD321" s="21"/>
      <c r="AE321" s="19" t="s">
        <v>68</v>
      </c>
      <c r="AF321" s="20">
        <v>9.5</v>
      </c>
      <c r="AG321" s="20" t="s">
        <v>39</v>
      </c>
      <c r="AH321" s="20"/>
      <c r="AI321" s="19"/>
      <c r="AJ321" s="19"/>
      <c r="AK321" s="18"/>
      <c r="AM321" s="43"/>
      <c r="AN321" s="42"/>
      <c r="AO321" s="42"/>
      <c r="AP321" s="42"/>
      <c r="AQ321" s="42"/>
      <c r="AR321" s="42"/>
      <c r="AS321" s="42"/>
      <c r="AT321" s="42"/>
      <c r="AU321" s="42"/>
      <c r="AV321" s="41"/>
      <c r="AX321" s="43"/>
      <c r="AY321" s="42"/>
      <c r="AZ321" s="42"/>
      <c r="BA321" s="42"/>
      <c r="BB321" s="42"/>
      <c r="BC321" s="42"/>
      <c r="BD321" s="42"/>
      <c r="BE321" s="42"/>
      <c r="BF321" s="42"/>
      <c r="BG321" s="41"/>
      <c r="BI321" s="40"/>
      <c r="BJ321" s="39"/>
      <c r="BK321" s="39"/>
      <c r="BL321" s="39"/>
      <c r="BM321" s="39"/>
      <c r="BN321" s="39"/>
      <c r="BO321" s="39"/>
      <c r="BP321" s="39"/>
      <c r="BQ321" s="39"/>
      <c r="BR321" s="38"/>
    </row>
    <row r="322" spans="9:70" ht="15.6" x14ac:dyDescent="0.35">
      <c r="AD322" s="195" t="s">
        <v>67</v>
      </c>
      <c r="AE322" s="46" t="s">
        <v>66</v>
      </c>
      <c r="AF322" s="19">
        <f>(60+94)/2</f>
        <v>77</v>
      </c>
      <c r="AG322" s="19" t="s">
        <v>64</v>
      </c>
      <c r="AH322" s="19"/>
      <c r="AI322" s="45" t="s">
        <v>65</v>
      </c>
      <c r="AJ322" s="19">
        <v>2</v>
      </c>
      <c r="AK322" s="18" t="s">
        <v>64</v>
      </c>
      <c r="AM322" s="37"/>
      <c r="AN322" s="188" t="s">
        <v>63</v>
      </c>
      <c r="AP322">
        <f>1.1*AP319</f>
        <v>210.22791175796098</v>
      </c>
      <c r="AQ322" t="s">
        <v>52</v>
      </c>
      <c r="AV322" s="36"/>
      <c r="AX322" s="37"/>
      <c r="AY322" s="188" t="s">
        <v>63</v>
      </c>
      <c r="BA322">
        <f>1.1*BA319</f>
        <v>210.22791175796098</v>
      </c>
      <c r="BB322" t="s">
        <v>52</v>
      </c>
      <c r="BG322" s="36"/>
      <c r="BI322" s="21"/>
      <c r="BJ322" s="192" t="s">
        <v>63</v>
      </c>
      <c r="BK322" s="19"/>
      <c r="BL322" s="19">
        <f>1.1*BL319</f>
        <v>0</v>
      </c>
      <c r="BM322" s="19" t="s">
        <v>52</v>
      </c>
      <c r="BN322" s="19"/>
      <c r="BO322" s="19"/>
      <c r="BP322" s="19"/>
      <c r="BQ322" s="19"/>
      <c r="BR322" s="18"/>
    </row>
    <row r="323" spans="9:70" x14ac:dyDescent="0.3">
      <c r="I323" s="9" t="s">
        <v>62</v>
      </c>
      <c r="J323" s="9">
        <v>1</v>
      </c>
      <c r="K323" s="9" t="s">
        <v>39</v>
      </c>
      <c r="L323" s="9" t="s">
        <v>62</v>
      </c>
      <c r="M323" s="9">
        <v>0</v>
      </c>
      <c r="N323" s="9" t="s">
        <v>39</v>
      </c>
      <c r="O323" s="9" t="s">
        <v>62</v>
      </c>
      <c r="P323" s="9">
        <f>((5.25*2)+(5*2))/12</f>
        <v>1.7083333333333333</v>
      </c>
      <c r="Q323" s="9" t="s">
        <v>39</v>
      </c>
      <c r="R323" s="9" t="s">
        <v>62</v>
      </c>
      <c r="S323" s="9">
        <v>0</v>
      </c>
      <c r="T323" s="9" t="s">
        <v>39</v>
      </c>
      <c r="AD323" s="195"/>
      <c r="AE323" s="19"/>
      <c r="AF323" s="19">
        <f>AF322/12</f>
        <v>6.416666666666667</v>
      </c>
      <c r="AG323" s="19" t="s">
        <v>39</v>
      </c>
      <c r="AH323" s="19"/>
      <c r="AI323" s="45"/>
      <c r="AJ323" s="19"/>
      <c r="AK323" s="18"/>
      <c r="AM323" s="35"/>
      <c r="AN323" s="189"/>
      <c r="AO323" s="6"/>
      <c r="AP323" s="6"/>
      <c r="AQ323" s="6"/>
      <c r="AR323" s="6"/>
      <c r="AS323" s="6"/>
      <c r="AT323" s="6"/>
      <c r="AU323" s="6"/>
      <c r="AV323" s="34"/>
      <c r="AX323" s="35"/>
      <c r="AY323" s="189"/>
      <c r="AZ323" s="6"/>
      <c r="BA323" s="6"/>
      <c r="BB323" s="6"/>
      <c r="BC323" s="6"/>
      <c r="BD323" s="6"/>
      <c r="BE323" s="6"/>
      <c r="BF323" s="6"/>
      <c r="BG323" s="34"/>
      <c r="BI323" s="17"/>
      <c r="BJ323" s="193"/>
      <c r="BK323" s="16"/>
      <c r="BL323" s="16"/>
      <c r="BM323" s="16"/>
      <c r="BN323" s="16"/>
      <c r="BO323" s="16"/>
      <c r="BP323" s="16"/>
      <c r="BQ323" s="16"/>
      <c r="BR323" s="15"/>
    </row>
    <row r="324" spans="9:70" x14ac:dyDescent="0.3">
      <c r="I324" s="9" t="s">
        <v>40</v>
      </c>
      <c r="J324" s="44">
        <v>8.25</v>
      </c>
      <c r="K324" s="9" t="s">
        <v>39</v>
      </c>
      <c r="L324" s="9" t="s">
        <v>40</v>
      </c>
      <c r="M324" s="44">
        <f>AG333</f>
        <v>31.884354694989781</v>
      </c>
      <c r="N324" s="9" t="s">
        <v>39</v>
      </c>
      <c r="O324" s="9" t="s">
        <v>40</v>
      </c>
      <c r="P324" s="44">
        <v>11.28</v>
      </c>
      <c r="Q324" s="9" t="s">
        <v>39</v>
      </c>
      <c r="R324" s="9" t="s">
        <v>40</v>
      </c>
      <c r="S324" s="44">
        <v>0</v>
      </c>
      <c r="T324" s="9" t="s">
        <v>39</v>
      </c>
      <c r="AD324" s="21"/>
      <c r="AE324" s="19"/>
      <c r="AF324" s="19"/>
      <c r="AG324" s="19"/>
      <c r="AH324" s="19"/>
      <c r="AI324" s="19"/>
      <c r="AJ324" s="19"/>
      <c r="AK324" s="18"/>
      <c r="AM324" s="43"/>
      <c r="AN324" s="42"/>
      <c r="AO324" s="42"/>
      <c r="AP324" s="42"/>
      <c r="AQ324" s="42"/>
      <c r="AR324" s="42"/>
      <c r="AS324" s="42"/>
      <c r="AT324" s="42"/>
      <c r="AU324" s="42"/>
      <c r="AV324" s="41"/>
      <c r="AX324" s="43"/>
      <c r="AY324" s="42"/>
      <c r="AZ324" s="42"/>
      <c r="BA324" s="42"/>
      <c r="BB324" s="42"/>
      <c r="BC324" s="42"/>
      <c r="BD324" s="42"/>
      <c r="BE324" s="42"/>
      <c r="BF324" s="42"/>
      <c r="BG324" s="41"/>
      <c r="BI324" s="40"/>
      <c r="BJ324" s="39"/>
      <c r="BK324" s="39"/>
      <c r="BL324" s="39"/>
      <c r="BM324" s="39"/>
      <c r="BN324" s="39"/>
      <c r="BO324" s="39"/>
      <c r="BP324" s="39"/>
      <c r="BQ324" s="39"/>
      <c r="BR324" s="38"/>
    </row>
    <row r="325" spans="9:70" x14ac:dyDescent="0.3">
      <c r="I325" s="9" t="s">
        <v>58</v>
      </c>
      <c r="J325" s="32" t="s">
        <v>61</v>
      </c>
      <c r="K325" s="11"/>
      <c r="L325" s="9" t="s">
        <v>58</v>
      </c>
      <c r="M325" s="32" t="s">
        <v>60</v>
      </c>
      <c r="N325" s="11"/>
      <c r="O325" s="9" t="s">
        <v>58</v>
      </c>
      <c r="P325" s="32" t="s">
        <v>59</v>
      </c>
      <c r="Q325" s="11"/>
      <c r="R325" s="9" t="s">
        <v>58</v>
      </c>
      <c r="S325" s="32" t="s">
        <v>57</v>
      </c>
      <c r="T325" s="11"/>
      <c r="AD325" s="21"/>
      <c r="AE325" s="19"/>
      <c r="AF325" s="19"/>
      <c r="AG325" s="19"/>
      <c r="AH325" s="19"/>
      <c r="AI325" s="19"/>
      <c r="AJ325" s="19"/>
      <c r="AK325" s="18"/>
      <c r="AM325" s="37"/>
      <c r="AN325" s="188" t="s">
        <v>56</v>
      </c>
      <c r="AP325">
        <v>5</v>
      </c>
      <c r="AV325" s="36"/>
      <c r="AX325" s="37"/>
      <c r="AY325" s="188" t="s">
        <v>56</v>
      </c>
      <c r="BA325">
        <v>5</v>
      </c>
      <c r="BG325" s="36"/>
      <c r="BI325" s="21"/>
      <c r="BJ325" s="192" t="s">
        <v>56</v>
      </c>
      <c r="BK325" s="19"/>
      <c r="BL325" s="19">
        <v>2</v>
      </c>
      <c r="BM325" s="19"/>
      <c r="BN325" s="19"/>
      <c r="BO325" s="19"/>
      <c r="BP325" s="19"/>
      <c r="BQ325" s="19"/>
      <c r="BR325" s="18"/>
    </row>
    <row r="326" spans="9:70" x14ac:dyDescent="0.3">
      <c r="I326" s="9" t="s">
        <v>55</v>
      </c>
      <c r="J326" s="32">
        <v>0</v>
      </c>
      <c r="K326" s="11"/>
      <c r="L326" s="9" t="s">
        <v>55</v>
      </c>
      <c r="M326" s="32">
        <v>0</v>
      </c>
      <c r="N326" s="11"/>
      <c r="O326" s="9" t="s">
        <v>55</v>
      </c>
      <c r="P326" s="32">
        <v>0</v>
      </c>
      <c r="Q326" s="11"/>
      <c r="R326" s="9" t="s">
        <v>55</v>
      </c>
      <c r="S326" s="32">
        <v>0</v>
      </c>
      <c r="T326" s="11"/>
      <c r="AD326" s="21"/>
      <c r="AE326" s="19"/>
      <c r="AF326" s="19"/>
      <c r="AG326" s="19"/>
      <c r="AH326" s="19"/>
      <c r="AI326" s="19"/>
      <c r="AJ326" s="19"/>
      <c r="AK326" s="18"/>
      <c r="AM326" s="37"/>
      <c r="AN326" s="188"/>
      <c r="AV326" s="36"/>
      <c r="AX326" s="37"/>
      <c r="AY326" s="188"/>
      <c r="BG326" s="36"/>
      <c r="BI326" s="21"/>
      <c r="BJ326" s="192"/>
      <c r="BK326" s="19"/>
      <c r="BL326" s="19"/>
      <c r="BM326" s="19"/>
      <c r="BN326" s="19"/>
      <c r="BO326" s="19"/>
      <c r="BP326" s="19"/>
      <c r="BQ326" s="19"/>
      <c r="BR326" s="18"/>
    </row>
    <row r="327" spans="9:70" x14ac:dyDescent="0.3">
      <c r="I327" s="9" t="s">
        <v>38</v>
      </c>
      <c r="J327" s="9">
        <f>J324*J323*J326</f>
        <v>0</v>
      </c>
      <c r="K327" s="9" t="s">
        <v>37</v>
      </c>
      <c r="L327" s="9" t="s">
        <v>38</v>
      </c>
      <c r="M327" s="9">
        <f>M324*M323*M326</f>
        <v>0</v>
      </c>
      <c r="N327" s="9" t="s">
        <v>37</v>
      </c>
      <c r="O327" s="9" t="s">
        <v>38</v>
      </c>
      <c r="P327" s="9">
        <f>P324*P323*P326</f>
        <v>0</v>
      </c>
      <c r="Q327" s="9" t="s">
        <v>37</v>
      </c>
      <c r="R327" s="9" t="s">
        <v>38</v>
      </c>
      <c r="S327" s="9">
        <f>S324*S323*S326</f>
        <v>0</v>
      </c>
      <c r="T327" s="9" t="s">
        <v>37</v>
      </c>
      <c r="AD327" s="21"/>
      <c r="AE327" s="19">
        <f>AF323-2*(AJ322/12+0.083)</f>
        <v>5.9173333333333336</v>
      </c>
      <c r="AF327" s="19" t="s">
        <v>6</v>
      </c>
      <c r="AG327" s="19"/>
      <c r="AH327" s="19">
        <f>SQRT((AG331)^2+(AE327)^2)</f>
        <v>11.192177347494891</v>
      </c>
      <c r="AI327" s="19" t="s">
        <v>6</v>
      </c>
      <c r="AJ327" s="19"/>
      <c r="AK327" s="18"/>
      <c r="AM327" s="35"/>
      <c r="AN327" s="6"/>
      <c r="AO327" s="6"/>
      <c r="AP327" s="6"/>
      <c r="AQ327" s="6"/>
      <c r="AR327" s="6"/>
      <c r="AS327" s="6"/>
      <c r="AT327" s="6"/>
      <c r="AU327" s="6"/>
      <c r="AV327" s="34"/>
      <c r="AX327" s="35"/>
      <c r="AY327" s="6"/>
      <c r="AZ327" s="6"/>
      <c r="BA327" s="6"/>
      <c r="BB327" s="6"/>
      <c r="BC327" s="6"/>
      <c r="BD327" s="6"/>
      <c r="BE327" s="6"/>
      <c r="BF327" s="6"/>
      <c r="BG327" s="34"/>
      <c r="BI327" s="17"/>
      <c r="BJ327" s="16"/>
      <c r="BK327" s="16"/>
      <c r="BL327" s="16"/>
      <c r="BM327" s="16"/>
      <c r="BN327" s="16"/>
      <c r="BO327" s="16"/>
      <c r="BP327" s="16"/>
      <c r="BQ327" s="16"/>
      <c r="BR327" s="15"/>
    </row>
    <row r="328" spans="9:70" ht="18" customHeight="1" x14ac:dyDescent="0.3">
      <c r="I328" s="9" t="s">
        <v>54</v>
      </c>
      <c r="J328" s="33">
        <f>J327*1.1</f>
        <v>0</v>
      </c>
      <c r="K328" s="9" t="s">
        <v>37</v>
      </c>
      <c r="L328" s="9" t="s">
        <v>54</v>
      </c>
      <c r="M328" s="33">
        <f>M327*1.1</f>
        <v>0</v>
      </c>
      <c r="N328" s="9" t="s">
        <v>37</v>
      </c>
      <c r="O328" s="9" t="s">
        <v>54</v>
      </c>
      <c r="P328" s="33">
        <f>P327*1.1</f>
        <v>0</v>
      </c>
      <c r="Q328" s="9" t="s">
        <v>37</v>
      </c>
      <c r="R328" s="9" t="s">
        <v>54</v>
      </c>
      <c r="S328" s="33">
        <f>S327*1.1</f>
        <v>0</v>
      </c>
      <c r="T328" s="9" t="s">
        <v>37</v>
      </c>
      <c r="AD328" s="21"/>
      <c r="AE328" s="19">
        <f>AE327*12</f>
        <v>71.00800000000001</v>
      </c>
      <c r="AF328" s="19"/>
      <c r="AG328" s="19"/>
      <c r="AH328" s="19"/>
      <c r="AI328" s="19"/>
      <c r="AJ328" s="19"/>
      <c r="AK328" s="18"/>
      <c r="AM328" s="32"/>
      <c r="AN328" s="31" t="s">
        <v>53</v>
      </c>
      <c r="AO328" s="12"/>
      <c r="AP328" s="30">
        <f>AP322*AP325</f>
        <v>1051.1395587898048</v>
      </c>
      <c r="AQ328" s="12" t="s">
        <v>52</v>
      </c>
      <c r="AR328" s="12"/>
      <c r="AS328" s="12"/>
      <c r="AT328" s="12"/>
      <c r="AU328" s="12"/>
      <c r="AV328" s="11"/>
      <c r="AX328" s="32"/>
      <c r="AY328" s="31" t="s">
        <v>53</v>
      </c>
      <c r="AZ328" s="12"/>
      <c r="BA328" s="30">
        <f>BA322*BA325</f>
        <v>1051.1395587898048</v>
      </c>
      <c r="BB328" s="12" t="s">
        <v>52</v>
      </c>
      <c r="BC328" s="12"/>
      <c r="BD328" s="12"/>
      <c r="BE328" s="12"/>
      <c r="BF328" s="12"/>
      <c r="BG328" s="11"/>
      <c r="BI328" s="29"/>
      <c r="BJ328" s="28" t="s">
        <v>53</v>
      </c>
      <c r="BK328" s="27"/>
      <c r="BL328" s="27">
        <f>BL322*BL325</f>
        <v>0</v>
      </c>
      <c r="BM328" s="27" t="s">
        <v>52</v>
      </c>
      <c r="BN328" s="27"/>
      <c r="BO328" s="27"/>
      <c r="BP328" s="27"/>
      <c r="BQ328" s="27"/>
      <c r="BR328" s="26"/>
    </row>
    <row r="329" spans="9:70" x14ac:dyDescent="0.3">
      <c r="AD329" s="21"/>
      <c r="AE329" s="19"/>
      <c r="AF329" s="19"/>
      <c r="AG329" s="19"/>
      <c r="AH329" s="19"/>
      <c r="AI329" s="19"/>
      <c r="AJ329" s="19"/>
      <c r="AK329" s="18"/>
    </row>
    <row r="330" spans="9:70" x14ac:dyDescent="0.3">
      <c r="AD330" s="21"/>
      <c r="AE330" s="19"/>
      <c r="AF330" s="19"/>
      <c r="AG330" s="19"/>
      <c r="AH330" s="19"/>
      <c r="AI330" s="19"/>
      <c r="AJ330" s="19"/>
      <c r="AK330" s="18"/>
    </row>
    <row r="331" spans="9:70" ht="43.2" x14ac:dyDescent="0.3">
      <c r="M331" s="25" t="s">
        <v>51</v>
      </c>
      <c r="N331" s="24">
        <f>K304+O304+K308+O309+S309+K313+O313+S313+J321+M321+P321+S321+J328+M328+P328+S328</f>
        <v>20901.462976119179</v>
      </c>
      <c r="O331" t="s">
        <v>37</v>
      </c>
      <c r="P331" s="5" t="s">
        <v>50</v>
      </c>
      <c r="AD331" s="21"/>
      <c r="AE331" s="19"/>
      <c r="AF331" s="19"/>
      <c r="AG331" s="20">
        <f>AF321</f>
        <v>9.5</v>
      </c>
      <c r="AH331" s="19"/>
      <c r="AI331" s="19"/>
      <c r="AJ331" s="19"/>
      <c r="AK331" s="18"/>
    </row>
    <row r="332" spans="9:70" x14ac:dyDescent="0.3">
      <c r="AD332" s="21"/>
      <c r="AE332" s="19"/>
      <c r="AF332" s="19"/>
      <c r="AG332" s="19"/>
      <c r="AH332" s="19"/>
      <c r="AI332" s="19"/>
      <c r="AJ332" s="19"/>
      <c r="AK332" s="18"/>
    </row>
    <row r="333" spans="9:70" x14ac:dyDescent="0.3">
      <c r="AD333" s="21" t="s">
        <v>49</v>
      </c>
      <c r="AE333" s="19"/>
      <c r="AF333" s="19"/>
      <c r="AG333" s="20">
        <f>(1*AG331)+(2*AH327)</f>
        <v>31.884354694989781</v>
      </c>
      <c r="AH333" s="19" t="s">
        <v>48</v>
      </c>
      <c r="AI333" s="19"/>
      <c r="AJ333" s="19"/>
      <c r="AK333" s="18"/>
    </row>
    <row r="334" spans="9:70" x14ac:dyDescent="0.3">
      <c r="AD334" s="21"/>
      <c r="AE334" s="19"/>
      <c r="AF334" s="19"/>
      <c r="AG334" s="19"/>
      <c r="AH334" s="19"/>
      <c r="AI334" s="19"/>
      <c r="AJ334" s="19"/>
      <c r="AK334" s="18"/>
    </row>
    <row r="335" spans="9:70" x14ac:dyDescent="0.3">
      <c r="AD335" s="23" t="s">
        <v>47</v>
      </c>
      <c r="AE335" s="19"/>
      <c r="AF335" s="19"/>
      <c r="AG335" s="22">
        <f>0.25*4*AG333</f>
        <v>31.884354694989781</v>
      </c>
      <c r="AH335" s="19" t="s">
        <v>44</v>
      </c>
      <c r="AI335" s="19"/>
      <c r="AJ335" s="19"/>
      <c r="AK335" s="18"/>
    </row>
    <row r="336" spans="9:70" x14ac:dyDescent="0.3">
      <c r="AD336" s="21" t="s">
        <v>46</v>
      </c>
      <c r="AE336" s="19"/>
      <c r="AF336" s="19" t="s">
        <v>45</v>
      </c>
      <c r="AG336" s="20">
        <f>AG335*1.1</f>
        <v>35.072790164488765</v>
      </c>
      <c r="AH336" s="19" t="s">
        <v>44</v>
      </c>
      <c r="AI336" s="19"/>
      <c r="AJ336" s="19"/>
      <c r="AK336" s="18"/>
    </row>
    <row r="337" spans="1:37" x14ac:dyDescent="0.3">
      <c r="AD337" s="17"/>
      <c r="AE337" s="16"/>
      <c r="AF337" s="16"/>
      <c r="AG337" s="16"/>
      <c r="AH337" s="16"/>
      <c r="AI337" s="16"/>
      <c r="AJ337" s="16"/>
      <c r="AK337" s="15"/>
    </row>
    <row r="338" spans="1:37" x14ac:dyDescent="0.3">
      <c r="I338" s="14" t="s">
        <v>43</v>
      </c>
      <c r="J338" s="12"/>
      <c r="K338" s="13" t="s">
        <v>42</v>
      </c>
      <c r="L338" s="12"/>
      <c r="M338" s="12"/>
      <c r="N338" s="11"/>
    </row>
    <row r="339" spans="1:37" x14ac:dyDescent="0.3">
      <c r="I339" s="9" t="s">
        <v>41</v>
      </c>
      <c r="J339" s="9">
        <v>10</v>
      </c>
      <c r="K339" s="9" t="s">
        <v>39</v>
      </c>
    </row>
    <row r="340" spans="1:37" x14ac:dyDescent="0.3">
      <c r="I340" s="9" t="s">
        <v>40</v>
      </c>
      <c r="J340" s="9">
        <v>20</v>
      </c>
      <c r="K340" s="9" t="s">
        <v>39</v>
      </c>
    </row>
    <row r="341" spans="1:37" x14ac:dyDescent="0.3">
      <c r="I341" s="9" t="s">
        <v>38</v>
      </c>
      <c r="J341" s="10">
        <f>J339*J340</f>
        <v>200</v>
      </c>
      <c r="K341" s="9" t="s">
        <v>37</v>
      </c>
    </row>
    <row r="349" spans="1:37" x14ac:dyDescent="0.3">
      <c r="A349" s="5" t="s">
        <v>36</v>
      </c>
    </row>
    <row r="351" spans="1:37" x14ac:dyDescent="0.3">
      <c r="A351" t="s">
        <v>35</v>
      </c>
      <c r="D351">
        <v>0</v>
      </c>
      <c r="E351" t="s">
        <v>6</v>
      </c>
    </row>
    <row r="352" spans="1:37" x14ac:dyDescent="0.3">
      <c r="A352" t="s">
        <v>34</v>
      </c>
      <c r="D352">
        <v>0</v>
      </c>
      <c r="E352" t="s">
        <v>33</v>
      </c>
    </row>
    <row r="354" spans="1:5" x14ac:dyDescent="0.3">
      <c r="A354" t="s">
        <v>32</v>
      </c>
      <c r="D354" s="8">
        <v>0</v>
      </c>
      <c r="E354" t="s">
        <v>6</v>
      </c>
    </row>
    <row r="355" spans="1:5" x14ac:dyDescent="0.3">
      <c r="A355" t="s">
        <v>31</v>
      </c>
      <c r="D355" s="7">
        <v>0</v>
      </c>
      <c r="E355" s="6" t="s">
        <v>6</v>
      </c>
    </row>
    <row r="356" spans="1:5" x14ac:dyDescent="0.3">
      <c r="A356" t="s">
        <v>30</v>
      </c>
      <c r="D356" s="4">
        <f>SUM(D354:D355)</f>
        <v>0</v>
      </c>
      <c r="E356" s="3" t="s">
        <v>6</v>
      </c>
    </row>
    <row r="360" spans="1:5" x14ac:dyDescent="0.3">
      <c r="A360" s="2" t="s">
        <v>29</v>
      </c>
    </row>
    <row r="362" spans="1:5" x14ac:dyDescent="0.3">
      <c r="A362" t="s">
        <v>28</v>
      </c>
      <c r="B362" t="s">
        <v>27</v>
      </c>
      <c r="C362">
        <v>0</v>
      </c>
      <c r="D362" t="s">
        <v>0</v>
      </c>
    </row>
    <row r="365" spans="1:5" x14ac:dyDescent="0.3">
      <c r="A365" s="2" t="s">
        <v>345</v>
      </c>
    </row>
    <row r="366" spans="1:5" x14ac:dyDescent="0.3">
      <c r="A366" s="2" t="s">
        <v>25</v>
      </c>
    </row>
    <row r="367" spans="1:5" x14ac:dyDescent="0.3">
      <c r="A367" t="s">
        <v>24</v>
      </c>
      <c r="C367">
        <v>5</v>
      </c>
      <c r="D367" t="s">
        <v>0</v>
      </c>
    </row>
    <row r="369" spans="1:5" x14ac:dyDescent="0.3">
      <c r="A369" t="s">
        <v>23</v>
      </c>
      <c r="C369" s="6">
        <v>5</v>
      </c>
      <c r="D369" s="6" t="s">
        <v>0</v>
      </c>
    </row>
    <row r="370" spans="1:5" x14ac:dyDescent="0.3">
      <c r="C370" s="3">
        <f>SUM(C367:C369)</f>
        <v>10</v>
      </c>
      <c r="D370" s="3" t="s">
        <v>0</v>
      </c>
    </row>
    <row r="373" spans="1:5" x14ac:dyDescent="0.3">
      <c r="A373" s="5" t="s">
        <v>22</v>
      </c>
    </row>
    <row r="374" spans="1:5" x14ac:dyDescent="0.3">
      <c r="A374" t="s">
        <v>21</v>
      </c>
      <c r="C374" s="3">
        <v>0</v>
      </c>
      <c r="D374" s="3" t="s">
        <v>0</v>
      </c>
    </row>
    <row r="379" spans="1:5" x14ac:dyDescent="0.3">
      <c r="A379" s="5" t="s">
        <v>20</v>
      </c>
    </row>
    <row r="380" spans="1:5" x14ac:dyDescent="0.3">
      <c r="A380" s="5"/>
    </row>
    <row r="381" spans="1:5" x14ac:dyDescent="0.3">
      <c r="A381" t="s">
        <v>12</v>
      </c>
      <c r="C381">
        <v>0</v>
      </c>
      <c r="D381" t="s">
        <v>11</v>
      </c>
      <c r="E381" t="s">
        <v>10</v>
      </c>
    </row>
    <row r="382" spans="1:5" x14ac:dyDescent="0.3">
      <c r="A382" s="5"/>
    </row>
    <row r="383" spans="1:5" ht="13.8" customHeight="1" x14ac:dyDescent="0.3">
      <c r="A383" t="s">
        <v>19</v>
      </c>
    </row>
    <row r="384" spans="1:5" hidden="1" x14ac:dyDescent="0.3">
      <c r="A384" t="s">
        <v>15</v>
      </c>
      <c r="D384">
        <v>0</v>
      </c>
      <c r="E384" t="s">
        <v>6</v>
      </c>
    </row>
    <row r="385" spans="1:5" hidden="1" x14ac:dyDescent="0.3">
      <c r="A385" t="s">
        <v>7</v>
      </c>
      <c r="D385">
        <v>0</v>
      </c>
      <c r="E385" t="s">
        <v>6</v>
      </c>
    </row>
    <row r="386" spans="1:5" hidden="1" x14ac:dyDescent="0.3">
      <c r="A386" t="s">
        <v>5</v>
      </c>
      <c r="D386">
        <v>0</v>
      </c>
    </row>
    <row r="387" spans="1:5" x14ac:dyDescent="0.3">
      <c r="A387" t="s">
        <v>4</v>
      </c>
      <c r="C387">
        <v>22.5</v>
      </c>
      <c r="D387" t="s">
        <v>3</v>
      </c>
    </row>
    <row r="389" spans="1:5" x14ac:dyDescent="0.3">
      <c r="A389" t="s">
        <v>18</v>
      </c>
    </row>
    <row r="390" spans="1:5" hidden="1" x14ac:dyDescent="0.3">
      <c r="A390" t="s">
        <v>15</v>
      </c>
      <c r="D390">
        <v>0</v>
      </c>
      <c r="E390" t="s">
        <v>6</v>
      </c>
    </row>
    <row r="391" spans="1:5" hidden="1" x14ac:dyDescent="0.3">
      <c r="A391" t="s">
        <v>7</v>
      </c>
      <c r="D391">
        <v>0</v>
      </c>
      <c r="E391" t="s">
        <v>6</v>
      </c>
    </row>
    <row r="392" spans="1:5" hidden="1" x14ac:dyDescent="0.3">
      <c r="A392" t="s">
        <v>5</v>
      </c>
      <c r="D392">
        <v>0</v>
      </c>
    </row>
    <row r="393" spans="1:5" x14ac:dyDescent="0.3">
      <c r="A393" t="s">
        <v>4</v>
      </c>
      <c r="C393">
        <f>D390*D391*D392</f>
        <v>0</v>
      </c>
      <c r="D393" t="s">
        <v>3</v>
      </c>
    </row>
    <row r="395" spans="1:5" x14ac:dyDescent="0.3">
      <c r="A395" t="s">
        <v>17</v>
      </c>
    </row>
    <row r="396" spans="1:5" hidden="1" x14ac:dyDescent="0.3">
      <c r="A396" t="s">
        <v>15</v>
      </c>
      <c r="D396">
        <v>0</v>
      </c>
    </row>
    <row r="397" spans="1:5" hidden="1" x14ac:dyDescent="0.3">
      <c r="A397" t="s">
        <v>7</v>
      </c>
      <c r="D397">
        <v>0</v>
      </c>
    </row>
    <row r="398" spans="1:5" hidden="1" x14ac:dyDescent="0.3">
      <c r="A398" t="s">
        <v>5</v>
      </c>
      <c r="D398">
        <v>0</v>
      </c>
    </row>
    <row r="399" spans="1:5" x14ac:dyDescent="0.3">
      <c r="A399" t="s">
        <v>4</v>
      </c>
      <c r="C399">
        <f>D396*D397*D398</f>
        <v>0</v>
      </c>
      <c r="D399" t="s">
        <v>3</v>
      </c>
    </row>
    <row r="401" spans="1:5" x14ac:dyDescent="0.3">
      <c r="A401" t="s">
        <v>348</v>
      </c>
    </row>
    <row r="402" spans="1:5" hidden="1" x14ac:dyDescent="0.3">
      <c r="A402" t="s">
        <v>15</v>
      </c>
      <c r="D402">
        <v>0</v>
      </c>
    </row>
    <row r="403" spans="1:5" hidden="1" x14ac:dyDescent="0.3">
      <c r="A403" t="s">
        <v>7</v>
      </c>
      <c r="D403">
        <v>0</v>
      </c>
    </row>
    <row r="404" spans="1:5" hidden="1" x14ac:dyDescent="0.3">
      <c r="A404" t="s">
        <v>5</v>
      </c>
      <c r="D404">
        <v>0</v>
      </c>
    </row>
    <row r="405" spans="1:5" x14ac:dyDescent="0.3">
      <c r="A405" t="s">
        <v>4</v>
      </c>
      <c r="C405">
        <v>0</v>
      </c>
      <c r="D405" t="s">
        <v>3</v>
      </c>
    </row>
    <row r="407" spans="1:5" x14ac:dyDescent="0.3">
      <c r="A407" t="s">
        <v>342</v>
      </c>
    </row>
    <row r="408" spans="1:5" hidden="1" x14ac:dyDescent="0.3">
      <c r="A408" t="s">
        <v>15</v>
      </c>
      <c r="D408">
        <v>0</v>
      </c>
      <c r="E408" t="s">
        <v>6</v>
      </c>
    </row>
    <row r="409" spans="1:5" hidden="1" x14ac:dyDescent="0.3">
      <c r="A409" t="s">
        <v>7</v>
      </c>
      <c r="D409">
        <v>0</v>
      </c>
      <c r="E409" t="s">
        <v>6</v>
      </c>
    </row>
    <row r="410" spans="1:5" hidden="1" x14ac:dyDescent="0.3">
      <c r="A410" t="s">
        <v>5</v>
      </c>
      <c r="D410">
        <v>0</v>
      </c>
    </row>
    <row r="411" spans="1:5" x14ac:dyDescent="0.3">
      <c r="A411" t="s">
        <v>4</v>
      </c>
      <c r="C411">
        <f>D408*D409*D410</f>
        <v>0</v>
      </c>
      <c r="D411" t="s">
        <v>3</v>
      </c>
    </row>
    <row r="413" spans="1:5" x14ac:dyDescent="0.3">
      <c r="A413" t="s">
        <v>341</v>
      </c>
    </row>
    <row r="414" spans="1:5" hidden="1" x14ac:dyDescent="0.3">
      <c r="A414" t="s">
        <v>15</v>
      </c>
      <c r="D414">
        <v>0</v>
      </c>
      <c r="E414" t="s">
        <v>6</v>
      </c>
    </row>
    <row r="415" spans="1:5" hidden="1" x14ac:dyDescent="0.3">
      <c r="A415" t="s">
        <v>7</v>
      </c>
      <c r="D415">
        <v>0</v>
      </c>
      <c r="E415" t="s">
        <v>6</v>
      </c>
    </row>
    <row r="416" spans="1:5" hidden="1" x14ac:dyDescent="0.3">
      <c r="A416" t="s">
        <v>5</v>
      </c>
      <c r="D416">
        <v>0</v>
      </c>
    </row>
    <row r="417" spans="1:4" x14ac:dyDescent="0.3">
      <c r="A417" t="s">
        <v>4</v>
      </c>
      <c r="C417">
        <v>47</v>
      </c>
      <c r="D417" t="s">
        <v>3</v>
      </c>
    </row>
    <row r="419" spans="1:4" x14ac:dyDescent="0.3">
      <c r="A419" t="s">
        <v>347</v>
      </c>
    </row>
    <row r="420" spans="1:4" x14ac:dyDescent="0.3">
      <c r="A420" t="s">
        <v>4</v>
      </c>
      <c r="C420">
        <v>1</v>
      </c>
      <c r="D420" t="s">
        <v>3</v>
      </c>
    </row>
    <row r="422" spans="1:4" x14ac:dyDescent="0.3">
      <c r="A422" t="s">
        <v>346</v>
      </c>
    </row>
    <row r="423" spans="1:4" x14ac:dyDescent="0.3">
      <c r="A423" t="s">
        <v>4</v>
      </c>
      <c r="C423">
        <v>15</v>
      </c>
      <c r="D423" t="s">
        <v>3</v>
      </c>
    </row>
    <row r="426" spans="1:4" x14ac:dyDescent="0.3">
      <c r="A426" t="s">
        <v>14</v>
      </c>
      <c r="C426" s="3">
        <f>ROUNDUP(C381+C387+C393+C411+C417+C420+C423,0)</f>
        <v>86</v>
      </c>
      <c r="D426" s="3" t="s">
        <v>3</v>
      </c>
    </row>
    <row r="427" spans="1:4" x14ac:dyDescent="0.3">
      <c r="A427" t="s">
        <v>393</v>
      </c>
      <c r="C427">
        <f>C426*1.5</f>
        <v>129</v>
      </c>
    </row>
    <row r="430" spans="1:4" x14ac:dyDescent="0.3">
      <c r="A430" s="2"/>
      <c r="B430" s="2"/>
      <c r="C430" s="2"/>
    </row>
    <row r="431" spans="1:4" x14ac:dyDescent="0.3">
      <c r="A431" s="5" t="s">
        <v>13</v>
      </c>
    </row>
    <row r="432" spans="1:4" x14ac:dyDescent="0.3">
      <c r="A432" s="5"/>
    </row>
    <row r="433" spans="1:5" x14ac:dyDescent="0.3">
      <c r="A433" t="s">
        <v>12</v>
      </c>
      <c r="C433">
        <v>0</v>
      </c>
      <c r="D433" t="s">
        <v>11</v>
      </c>
      <c r="E433" t="s">
        <v>10</v>
      </c>
    </row>
    <row r="434" spans="1:5" x14ac:dyDescent="0.3">
      <c r="A434" s="5"/>
    </row>
    <row r="435" spans="1:5" x14ac:dyDescent="0.3">
      <c r="A435" t="s">
        <v>9</v>
      </c>
    </row>
    <row r="436" spans="1:5" x14ac:dyDescent="0.3">
      <c r="A436" t="s">
        <v>8</v>
      </c>
      <c r="D436">
        <v>35.5</v>
      </c>
      <c r="E436" t="s">
        <v>6</v>
      </c>
    </row>
    <row r="437" spans="1:5" x14ac:dyDescent="0.3">
      <c r="A437" t="s">
        <v>7</v>
      </c>
      <c r="D437">
        <v>1.25</v>
      </c>
      <c r="E437" t="s">
        <v>6</v>
      </c>
    </row>
    <row r="438" spans="1:5" x14ac:dyDescent="0.3">
      <c r="A438" t="s">
        <v>5</v>
      </c>
      <c r="D438">
        <v>1</v>
      </c>
    </row>
    <row r="439" spans="1:5" x14ac:dyDescent="0.3">
      <c r="A439" t="s">
        <v>4</v>
      </c>
      <c r="C439">
        <f>D436*D437*D438</f>
        <v>44.375</v>
      </c>
      <c r="D439" t="s">
        <v>3</v>
      </c>
    </row>
    <row r="440" spans="1:5" x14ac:dyDescent="0.3">
      <c r="C440" s="4">
        <f>C439/9</f>
        <v>4.9305555555555554</v>
      </c>
      <c r="D440" s="3" t="s">
        <v>2</v>
      </c>
    </row>
    <row r="443" spans="1:5" x14ac:dyDescent="0.3">
      <c r="A443" s="2" t="s">
        <v>1</v>
      </c>
      <c r="B443" s="1"/>
      <c r="C443" s="1"/>
      <c r="D443">
        <v>0</v>
      </c>
      <c r="E443" t="s">
        <v>0</v>
      </c>
    </row>
    <row r="446" spans="1:5" x14ac:dyDescent="0.3">
      <c r="A446" s="102" t="s">
        <v>371</v>
      </c>
      <c r="B446" s="6"/>
      <c r="C446" s="6"/>
    </row>
    <row r="448" spans="1:5" x14ac:dyDescent="0.3">
      <c r="A448" t="s">
        <v>376</v>
      </c>
    </row>
    <row r="449" spans="1:4" x14ac:dyDescent="0.3">
      <c r="A449" t="s">
        <v>374</v>
      </c>
      <c r="C449">
        <f>PI()*3</f>
        <v>9.4247779607693793</v>
      </c>
      <c r="D449" t="s">
        <v>6</v>
      </c>
    </row>
    <row r="450" spans="1:4" x14ac:dyDescent="0.3">
      <c r="A450" t="s">
        <v>375</v>
      </c>
      <c r="C450">
        <v>2</v>
      </c>
      <c r="D450" t="s">
        <v>6</v>
      </c>
    </row>
    <row r="451" spans="1:4" x14ac:dyDescent="0.3">
      <c r="A451" t="s">
        <v>373</v>
      </c>
      <c r="C451" s="6">
        <v>0</v>
      </c>
      <c r="D451" s="6" t="s">
        <v>0</v>
      </c>
    </row>
    <row r="452" spans="1:4" x14ac:dyDescent="0.3">
      <c r="A452" t="s">
        <v>145</v>
      </c>
      <c r="C452">
        <f>ROUNDUP(C449*C450*C451,0)</f>
        <v>0</v>
      </c>
      <c r="D452" t="s">
        <v>11</v>
      </c>
    </row>
    <row r="455" spans="1:4" x14ac:dyDescent="0.3">
      <c r="A455" t="s">
        <v>377</v>
      </c>
    </row>
    <row r="457" spans="1:4" x14ac:dyDescent="0.3">
      <c r="A457" t="s">
        <v>383</v>
      </c>
      <c r="C457">
        <f>PI()*3</f>
        <v>9.4247779607693793</v>
      </c>
      <c r="D457" t="s">
        <v>6</v>
      </c>
    </row>
    <row r="458" spans="1:4" x14ac:dyDescent="0.3">
      <c r="A458" t="s">
        <v>387</v>
      </c>
      <c r="C458">
        <v>0</v>
      </c>
      <c r="D458" t="s">
        <v>6</v>
      </c>
    </row>
    <row r="459" spans="1:4" x14ac:dyDescent="0.3">
      <c r="A459" t="s">
        <v>385</v>
      </c>
      <c r="C459">
        <v>27</v>
      </c>
      <c r="D459" t="s">
        <v>6</v>
      </c>
    </row>
    <row r="460" spans="1:4" x14ac:dyDescent="0.3">
      <c r="A460" t="s">
        <v>386</v>
      </c>
      <c r="C460">
        <v>7</v>
      </c>
      <c r="D460" t="s">
        <v>6</v>
      </c>
    </row>
    <row r="461" spans="1:4" x14ac:dyDescent="0.3">
      <c r="C461">
        <f>C457*(C458+C459+C460)</f>
        <v>320.44245066615889</v>
      </c>
      <c r="D461" t="s">
        <v>11</v>
      </c>
    </row>
    <row r="463" spans="1:4" x14ac:dyDescent="0.3">
      <c r="A463" s="172" t="s">
        <v>384</v>
      </c>
      <c r="C463">
        <f>6+3+6+3</f>
        <v>18</v>
      </c>
      <c r="D463" t="s">
        <v>6</v>
      </c>
    </row>
    <row r="464" spans="1:4" x14ac:dyDescent="0.3">
      <c r="A464" t="s">
        <v>387</v>
      </c>
      <c r="C464">
        <v>0</v>
      </c>
      <c r="D464" t="s">
        <v>6</v>
      </c>
    </row>
    <row r="465" spans="1:4" x14ac:dyDescent="0.3">
      <c r="A465" t="s">
        <v>385</v>
      </c>
      <c r="C465">
        <v>0</v>
      </c>
      <c r="D465" t="s">
        <v>6</v>
      </c>
    </row>
    <row r="466" spans="1:4" x14ac:dyDescent="0.3">
      <c r="A466" t="s">
        <v>386</v>
      </c>
      <c r="C466">
        <v>0</v>
      </c>
      <c r="D466" t="s">
        <v>6</v>
      </c>
    </row>
    <row r="467" spans="1:4" x14ac:dyDescent="0.3">
      <c r="A467" t="s">
        <v>145</v>
      </c>
      <c r="C467">
        <f>C463*(C464+C465+C466)</f>
        <v>0</v>
      </c>
      <c r="D467" t="s">
        <v>11</v>
      </c>
    </row>
    <row r="470" spans="1:4" x14ac:dyDescent="0.3">
      <c r="A470" t="s">
        <v>388</v>
      </c>
      <c r="C470">
        <f>ROUNDUP(C452+C461+C467,0)</f>
        <v>321</v>
      </c>
      <c r="D470" t="s">
        <v>11</v>
      </c>
    </row>
    <row r="473" spans="1:4" x14ac:dyDescent="0.3">
      <c r="A473" s="5" t="s">
        <v>380</v>
      </c>
    </row>
    <row r="475" spans="1:4" x14ac:dyDescent="0.3">
      <c r="A475" t="s">
        <v>381</v>
      </c>
      <c r="B475">
        <v>6</v>
      </c>
      <c r="C475" t="s">
        <v>0</v>
      </c>
    </row>
    <row r="476" spans="1:4" x14ac:dyDescent="0.3">
      <c r="A476" t="s">
        <v>382</v>
      </c>
      <c r="B476" s="6">
        <v>5</v>
      </c>
      <c r="C476" s="6" t="s">
        <v>0</v>
      </c>
    </row>
    <row r="477" spans="1:4" x14ac:dyDescent="0.3">
      <c r="B477">
        <f>SUM(B475:B476)</f>
        <v>11</v>
      </c>
      <c r="C477" t="s">
        <v>0</v>
      </c>
    </row>
  </sheetData>
  <mergeCells count="16">
    <mergeCell ref="AN325:AN326"/>
    <mergeCell ref="AY325:AY326"/>
    <mergeCell ref="BJ325:BJ326"/>
    <mergeCell ref="AN318:AN320"/>
    <mergeCell ref="AY318:AY320"/>
    <mergeCell ref="BJ318:BJ320"/>
    <mergeCell ref="AD322:AD323"/>
    <mergeCell ref="AN322:AN323"/>
    <mergeCell ref="AY322:AY323"/>
    <mergeCell ref="BJ322:BJ323"/>
    <mergeCell ref="A39:B40"/>
    <mergeCell ref="A55:B56"/>
    <mergeCell ref="A290:K292"/>
    <mergeCell ref="AM299:AS299"/>
    <mergeCell ref="AX299:BD299"/>
    <mergeCell ref="BI299:BO299"/>
  </mergeCells>
  <pageMargins left="0.7" right="0.7" top="0.75" bottom="0.75" header="0.3" footer="0.3"/>
  <pageSetup paperSize="17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0A2D-EC57-460D-BA6C-880B1FEF4CD0}">
  <dimension ref="A1:J30"/>
  <sheetViews>
    <sheetView workbookViewId="0">
      <selection sqref="A1:J29"/>
    </sheetView>
  </sheetViews>
  <sheetFormatPr defaultRowHeight="14.4" x14ac:dyDescent="0.3"/>
  <cols>
    <col min="1" max="4" width="12.33203125" customWidth="1"/>
    <col min="5" max="5" width="127.77734375" customWidth="1"/>
    <col min="6" max="7" width="12.33203125" customWidth="1"/>
    <col min="8" max="8" width="18.77734375" customWidth="1"/>
    <col min="9" max="10" width="12.33203125" customWidth="1"/>
  </cols>
  <sheetData>
    <row r="1" spans="1:10" ht="15" thickBot="1" x14ac:dyDescent="0.35">
      <c r="A1" s="183"/>
      <c r="B1" s="184"/>
      <c r="C1" s="184"/>
      <c r="D1" s="184"/>
      <c r="E1" s="118" t="s">
        <v>407</v>
      </c>
      <c r="F1" s="184" t="s">
        <v>402</v>
      </c>
      <c r="G1" s="184"/>
      <c r="H1" s="184"/>
      <c r="I1" s="184"/>
      <c r="J1" s="185"/>
    </row>
    <row r="2" spans="1:10" ht="15" thickBot="1" x14ac:dyDescent="0.35">
      <c r="A2" s="119" t="s">
        <v>264</v>
      </c>
      <c r="B2" s="120" t="s">
        <v>265</v>
      </c>
      <c r="C2" s="121" t="s">
        <v>266</v>
      </c>
      <c r="D2" s="122" t="s">
        <v>267</v>
      </c>
      <c r="E2" s="123" t="s">
        <v>268</v>
      </c>
      <c r="F2" s="124" t="s">
        <v>269</v>
      </c>
      <c r="G2" s="121" t="s">
        <v>270</v>
      </c>
      <c r="H2" s="121" t="s">
        <v>271</v>
      </c>
      <c r="I2" s="121" t="s">
        <v>272</v>
      </c>
      <c r="J2" s="125" t="s">
        <v>273</v>
      </c>
    </row>
    <row r="3" spans="1:10" x14ac:dyDescent="0.3">
      <c r="A3" s="126">
        <v>202</v>
      </c>
      <c r="B3" s="127">
        <v>11203</v>
      </c>
      <c r="C3" s="128" t="str">
        <f t="shared" ref="C3" si="0">IF(D3="LUMP","LS",IF(SUM(F3:I3)=0,"",(SUM(F3:I3))))</f>
        <v>LS</v>
      </c>
      <c r="D3" s="129" t="s">
        <v>274</v>
      </c>
      <c r="E3" s="130" t="s">
        <v>275</v>
      </c>
      <c r="F3" s="128" t="s">
        <v>274</v>
      </c>
      <c r="G3" s="128"/>
      <c r="H3" s="128" t="s">
        <v>274</v>
      </c>
      <c r="I3" s="128"/>
      <c r="J3" s="131">
        <v>11</v>
      </c>
    </row>
    <row r="4" spans="1:10" x14ac:dyDescent="0.3">
      <c r="A4" s="126">
        <v>202</v>
      </c>
      <c r="B4" s="127">
        <v>38501</v>
      </c>
      <c r="C4" s="134">
        <f t="shared" ref="C4:C5" si="1">IF(D4="LUMP","LS",IF(SUM(F4:I4)=0,"",(SUM(F4:I4))))</f>
        <v>20</v>
      </c>
      <c r="D4" s="129" t="s">
        <v>6</v>
      </c>
      <c r="E4" s="130" t="s">
        <v>322</v>
      </c>
      <c r="F4" s="128"/>
      <c r="G4" s="128"/>
      <c r="H4" s="128">
        <v>20</v>
      </c>
      <c r="I4" s="128"/>
      <c r="J4" s="131">
        <v>12</v>
      </c>
    </row>
    <row r="5" spans="1:10" x14ac:dyDescent="0.3">
      <c r="A5" s="132" t="s">
        <v>320</v>
      </c>
      <c r="B5" s="133">
        <v>75267</v>
      </c>
      <c r="C5" s="134">
        <f t="shared" si="1"/>
        <v>25</v>
      </c>
      <c r="D5" s="135" t="s">
        <v>6</v>
      </c>
      <c r="E5" s="136" t="s">
        <v>321</v>
      </c>
      <c r="F5" s="134"/>
      <c r="G5" s="134"/>
      <c r="H5" s="137">
        <v>25</v>
      </c>
      <c r="I5" s="134"/>
      <c r="J5" s="138">
        <v>12</v>
      </c>
    </row>
    <row r="6" spans="1:10" x14ac:dyDescent="0.3">
      <c r="A6" s="132"/>
      <c r="B6" s="133"/>
      <c r="C6" s="134"/>
      <c r="D6" s="135"/>
      <c r="E6" s="136"/>
      <c r="F6" s="134"/>
      <c r="G6" s="134"/>
      <c r="H6" s="137"/>
      <c r="I6" s="134"/>
      <c r="J6" s="138"/>
    </row>
    <row r="7" spans="1:10" x14ac:dyDescent="0.3">
      <c r="A7" s="132" t="s">
        <v>277</v>
      </c>
      <c r="B7" s="133">
        <v>34410</v>
      </c>
      <c r="C7" s="134">
        <f t="shared" ref="C7:C10" si="2">IF(D7="LUMP","LS",IF(SUM(F7:I7)=0,"",(SUM(F7:I7))))</f>
        <v>1</v>
      </c>
      <c r="D7" s="135" t="s">
        <v>196</v>
      </c>
      <c r="E7" s="136" t="s">
        <v>278</v>
      </c>
      <c r="F7" s="134"/>
      <c r="G7" s="134"/>
      <c r="H7" s="137">
        <v>1</v>
      </c>
      <c r="I7" s="134"/>
      <c r="J7" s="138"/>
    </row>
    <row r="8" spans="1:10" x14ac:dyDescent="0.3">
      <c r="A8" s="179" t="s">
        <v>280</v>
      </c>
      <c r="B8" s="180" t="s">
        <v>427</v>
      </c>
      <c r="C8" s="134">
        <f t="shared" si="2"/>
        <v>230</v>
      </c>
      <c r="D8" s="134" t="s">
        <v>279</v>
      </c>
      <c r="E8" s="149" t="s">
        <v>417</v>
      </c>
      <c r="F8" s="150"/>
      <c r="G8" s="151"/>
      <c r="H8" s="151">
        <v>174</v>
      </c>
      <c r="I8" s="151">
        <v>56</v>
      </c>
      <c r="J8" s="181"/>
    </row>
    <row r="9" spans="1:10" x14ac:dyDescent="0.3">
      <c r="A9" s="146">
        <v>512</v>
      </c>
      <c r="B9" s="133">
        <v>10100</v>
      </c>
      <c r="C9" s="134">
        <f t="shared" ref="C9" si="3">IF(D9="LUMP","LS",IF(SUM(F9:I9)=0,"",(SUM(F9:I9))))</f>
        <v>687</v>
      </c>
      <c r="D9" s="135" t="s">
        <v>279</v>
      </c>
      <c r="E9" s="136" t="s">
        <v>408</v>
      </c>
      <c r="F9" s="134">
        <v>272</v>
      </c>
      <c r="G9" s="134"/>
      <c r="H9" s="134">
        <v>293</v>
      </c>
      <c r="I9" s="134">
        <v>122</v>
      </c>
      <c r="J9" s="131">
        <v>12</v>
      </c>
    </row>
    <row r="10" spans="1:10" x14ac:dyDescent="0.3">
      <c r="A10" s="147" t="s">
        <v>280</v>
      </c>
      <c r="B10" s="133" t="s">
        <v>281</v>
      </c>
      <c r="C10" s="134">
        <f t="shared" si="2"/>
        <v>793</v>
      </c>
      <c r="D10" s="135" t="s">
        <v>279</v>
      </c>
      <c r="E10" s="136" t="s">
        <v>282</v>
      </c>
      <c r="F10" s="134">
        <v>272</v>
      </c>
      <c r="G10" s="134"/>
      <c r="H10" s="134">
        <v>399</v>
      </c>
      <c r="I10" s="134">
        <v>122</v>
      </c>
      <c r="J10" s="138"/>
    </row>
    <row r="11" spans="1:10" ht="13.8" customHeight="1" x14ac:dyDescent="0.3">
      <c r="A11" s="132"/>
      <c r="B11" s="133"/>
      <c r="C11" s="134"/>
      <c r="D11" s="135"/>
      <c r="E11" s="136"/>
      <c r="F11" s="134"/>
      <c r="G11" s="134"/>
      <c r="H11" s="137"/>
      <c r="I11" s="134"/>
      <c r="J11" s="138"/>
    </row>
    <row r="12" spans="1:10" hidden="1" x14ac:dyDescent="0.3">
      <c r="A12" s="162" t="s">
        <v>283</v>
      </c>
      <c r="B12" s="148" t="s">
        <v>284</v>
      </c>
      <c r="C12" s="134">
        <f t="shared" ref="C12:C14" si="4">IF(D12="LUMP","LS",IF(SUM(F12:I12)=0,"",(SUM(F12:I12))))</f>
        <v>350</v>
      </c>
      <c r="D12" s="134" t="s">
        <v>0</v>
      </c>
      <c r="E12" s="149" t="s">
        <v>285</v>
      </c>
      <c r="F12" s="150"/>
      <c r="G12" s="151"/>
      <c r="H12" s="151">
        <v>350</v>
      </c>
      <c r="I12" s="151"/>
      <c r="J12" s="131" t="s">
        <v>276</v>
      </c>
    </row>
    <row r="13" spans="1:10" hidden="1" x14ac:dyDescent="0.3">
      <c r="A13" s="147">
        <v>513</v>
      </c>
      <c r="B13" s="133">
        <v>95030</v>
      </c>
      <c r="C13" s="134">
        <f t="shared" si="4"/>
        <v>6</v>
      </c>
      <c r="D13" s="135" t="s">
        <v>0</v>
      </c>
      <c r="E13" s="136" t="s">
        <v>286</v>
      </c>
      <c r="F13" s="134"/>
      <c r="G13" s="134"/>
      <c r="H13" s="134">
        <v>6</v>
      </c>
      <c r="I13" s="134"/>
      <c r="J13" s="131" t="s">
        <v>287</v>
      </c>
    </row>
    <row r="14" spans="1:10" hidden="1" x14ac:dyDescent="0.3">
      <c r="A14" s="147">
        <v>513</v>
      </c>
      <c r="B14" s="133">
        <v>95030</v>
      </c>
      <c r="C14" s="134">
        <f t="shared" si="4"/>
        <v>6</v>
      </c>
      <c r="D14" s="135" t="s">
        <v>0</v>
      </c>
      <c r="E14" s="136" t="s">
        <v>288</v>
      </c>
      <c r="F14" s="134"/>
      <c r="G14" s="134"/>
      <c r="H14" s="134">
        <v>6</v>
      </c>
      <c r="I14" s="134"/>
      <c r="J14" s="131" t="s">
        <v>276</v>
      </c>
    </row>
    <row r="15" spans="1:10" hidden="1" x14ac:dyDescent="0.3">
      <c r="A15" s="132"/>
      <c r="B15" s="133"/>
      <c r="C15" s="134"/>
      <c r="D15" s="135"/>
      <c r="E15" s="136"/>
      <c r="F15" s="134"/>
      <c r="G15" s="134"/>
      <c r="H15" s="137"/>
      <c r="I15" s="134"/>
      <c r="J15" s="138"/>
    </row>
    <row r="16" spans="1:10" x14ac:dyDescent="0.3">
      <c r="A16" s="132" t="s">
        <v>289</v>
      </c>
      <c r="B16" s="133">
        <v>50</v>
      </c>
      <c r="C16" s="134">
        <f t="shared" ref="C16:C30" si="5">IF(D16="LUMP","LS",IF(SUM(F16:I16)=0,"",(SUM(F16:I16))))</f>
        <v>21844</v>
      </c>
      <c r="D16" s="135" t="s">
        <v>11</v>
      </c>
      <c r="E16" s="136" t="s">
        <v>124</v>
      </c>
      <c r="F16" s="134"/>
      <c r="G16" s="137"/>
      <c r="H16" s="137">
        <v>21844</v>
      </c>
      <c r="I16" s="134"/>
      <c r="J16" s="138"/>
    </row>
    <row r="17" spans="1:10" x14ac:dyDescent="0.3">
      <c r="A17" s="132" t="s">
        <v>289</v>
      </c>
      <c r="B17" s="133">
        <v>56</v>
      </c>
      <c r="C17" s="134">
        <f t="shared" si="5"/>
        <v>21844</v>
      </c>
      <c r="D17" s="135" t="s">
        <v>11</v>
      </c>
      <c r="E17" s="136" t="s">
        <v>290</v>
      </c>
      <c r="F17" s="134"/>
      <c r="G17" s="137"/>
      <c r="H17" s="137">
        <v>21844</v>
      </c>
      <c r="I17" s="134"/>
      <c r="J17" s="138"/>
    </row>
    <row r="18" spans="1:10" x14ac:dyDescent="0.3">
      <c r="A18" s="132" t="s">
        <v>289</v>
      </c>
      <c r="B18" s="133">
        <v>60</v>
      </c>
      <c r="C18" s="134">
        <f t="shared" si="5"/>
        <v>21844</v>
      </c>
      <c r="D18" s="135" t="s">
        <v>11</v>
      </c>
      <c r="E18" s="136" t="s">
        <v>291</v>
      </c>
      <c r="F18" s="134"/>
      <c r="G18" s="137"/>
      <c r="H18" s="137">
        <v>21844</v>
      </c>
      <c r="I18" s="134"/>
      <c r="J18" s="138"/>
    </row>
    <row r="19" spans="1:10" x14ac:dyDescent="0.3">
      <c r="A19" s="132" t="s">
        <v>289</v>
      </c>
      <c r="B19" s="133">
        <v>66</v>
      </c>
      <c r="C19" s="134">
        <f t="shared" si="5"/>
        <v>21844</v>
      </c>
      <c r="D19" s="135" t="s">
        <v>11</v>
      </c>
      <c r="E19" s="136" t="s">
        <v>292</v>
      </c>
      <c r="F19" s="134"/>
      <c r="G19" s="137"/>
      <c r="H19" s="137">
        <v>21844</v>
      </c>
      <c r="I19" s="134"/>
      <c r="J19" s="138"/>
    </row>
    <row r="20" spans="1:10" x14ac:dyDescent="0.3">
      <c r="A20" s="132" t="s">
        <v>289</v>
      </c>
      <c r="B20" s="133">
        <v>504</v>
      </c>
      <c r="C20" s="134">
        <f t="shared" si="5"/>
        <v>29</v>
      </c>
      <c r="D20" s="135" t="s">
        <v>293</v>
      </c>
      <c r="E20" s="136" t="s">
        <v>107</v>
      </c>
      <c r="F20" s="134"/>
      <c r="G20" s="137"/>
      <c r="H20" s="137">
        <v>29</v>
      </c>
      <c r="I20" s="134"/>
      <c r="J20" s="138"/>
    </row>
    <row r="21" spans="1:10" x14ac:dyDescent="0.3">
      <c r="A21" s="132" t="s">
        <v>289</v>
      </c>
      <c r="B21" s="133">
        <v>10000</v>
      </c>
      <c r="C21" s="134">
        <f t="shared" si="5"/>
        <v>10</v>
      </c>
      <c r="D21" s="135" t="s">
        <v>0</v>
      </c>
      <c r="E21" s="136" t="s">
        <v>102</v>
      </c>
      <c r="F21" s="134"/>
      <c r="G21" s="134"/>
      <c r="H21" s="137">
        <v>10</v>
      </c>
      <c r="I21" s="134"/>
      <c r="J21" s="138"/>
    </row>
    <row r="22" spans="1:10" x14ac:dyDescent="0.3">
      <c r="A22" s="132"/>
      <c r="B22" s="133"/>
      <c r="C22" s="134"/>
      <c r="D22" s="135"/>
      <c r="E22" s="136"/>
      <c r="F22" s="134"/>
      <c r="G22" s="134"/>
      <c r="H22" s="137"/>
      <c r="I22" s="134"/>
      <c r="J22" s="138"/>
    </row>
    <row r="23" spans="1:10" hidden="1" x14ac:dyDescent="0.3">
      <c r="A23" s="132" t="s">
        <v>294</v>
      </c>
      <c r="B23" s="133">
        <v>1300</v>
      </c>
      <c r="C23" s="134">
        <f t="shared" ref="C23:C24" si="6">IF(D23="LUMP","LS",IF(SUM(F23:I23)=0,"",(SUM(F23:I23))))</f>
        <v>224</v>
      </c>
      <c r="D23" s="135" t="s">
        <v>6</v>
      </c>
      <c r="E23" s="136" t="s">
        <v>300</v>
      </c>
      <c r="F23" s="134"/>
      <c r="G23" s="134"/>
      <c r="H23" s="137">
        <v>224</v>
      </c>
      <c r="I23" s="134"/>
      <c r="J23" s="138"/>
    </row>
    <row r="24" spans="1:10" hidden="1" x14ac:dyDescent="0.3">
      <c r="A24" s="132" t="s">
        <v>294</v>
      </c>
      <c r="B24" s="133">
        <v>44301</v>
      </c>
      <c r="C24" s="134">
        <f t="shared" si="6"/>
        <v>7</v>
      </c>
      <c r="D24" s="135" t="s">
        <v>0</v>
      </c>
      <c r="E24" s="136" t="s">
        <v>296</v>
      </c>
      <c r="F24" s="134"/>
      <c r="G24" s="134"/>
      <c r="H24" s="137">
        <v>7</v>
      </c>
      <c r="I24" s="134"/>
      <c r="J24" s="138"/>
    </row>
    <row r="25" spans="1:10" hidden="1" x14ac:dyDescent="0.3">
      <c r="A25" s="146"/>
      <c r="B25" s="133"/>
      <c r="C25" s="134" t="str">
        <f t="shared" si="5"/>
        <v/>
      </c>
      <c r="D25" s="154"/>
      <c r="E25" s="136" t="s">
        <v>297</v>
      </c>
      <c r="F25" s="134"/>
      <c r="G25" s="134"/>
      <c r="H25" s="134"/>
      <c r="I25" s="134"/>
      <c r="J25" s="138"/>
    </row>
    <row r="26" spans="1:10" hidden="1" x14ac:dyDescent="0.3">
      <c r="A26" s="126">
        <v>516</v>
      </c>
      <c r="B26" s="128">
        <v>47001</v>
      </c>
      <c r="C26" s="128" t="str">
        <f t="shared" si="5"/>
        <v>LS</v>
      </c>
      <c r="D26" s="128" t="s">
        <v>274</v>
      </c>
      <c r="E26" s="152" t="s">
        <v>299</v>
      </c>
      <c r="F26" s="128"/>
      <c r="G26" s="128"/>
      <c r="H26" s="128" t="s">
        <v>274</v>
      </c>
      <c r="I26" s="128"/>
      <c r="J26" s="153">
        <v>24</v>
      </c>
    </row>
    <row r="27" spans="1:10" x14ac:dyDescent="0.3">
      <c r="A27" s="126">
        <v>517</v>
      </c>
      <c r="B27" s="128">
        <v>75001</v>
      </c>
      <c r="C27" s="128">
        <f t="shared" si="5"/>
        <v>20</v>
      </c>
      <c r="D27" s="128" t="s">
        <v>6</v>
      </c>
      <c r="E27" s="152" t="s">
        <v>323</v>
      </c>
      <c r="F27" s="128"/>
      <c r="G27" s="128"/>
      <c r="H27" s="128">
        <v>20</v>
      </c>
      <c r="I27" s="128"/>
      <c r="J27" s="153">
        <v>12</v>
      </c>
    </row>
    <row r="28" spans="1:10" x14ac:dyDescent="0.3">
      <c r="A28" s="146">
        <v>519</v>
      </c>
      <c r="B28" s="182" t="s">
        <v>379</v>
      </c>
      <c r="C28" s="128">
        <f t="shared" si="5"/>
        <v>66</v>
      </c>
      <c r="D28" s="135" t="s">
        <v>11</v>
      </c>
      <c r="E28" s="152" t="s">
        <v>372</v>
      </c>
      <c r="F28" s="134"/>
      <c r="G28" s="134"/>
      <c r="H28" s="134">
        <v>66</v>
      </c>
      <c r="I28" s="134"/>
      <c r="J28" s="138">
        <v>12</v>
      </c>
    </row>
    <row r="29" spans="1:10" ht="15" thickBot="1" x14ac:dyDescent="0.35">
      <c r="A29" s="174">
        <v>519</v>
      </c>
      <c r="B29" s="175">
        <v>11101</v>
      </c>
      <c r="C29" s="175">
        <f t="shared" si="5"/>
        <v>621</v>
      </c>
      <c r="D29" s="175" t="s">
        <v>279</v>
      </c>
      <c r="E29" s="176" t="s">
        <v>349</v>
      </c>
      <c r="F29" s="175">
        <v>75</v>
      </c>
      <c r="G29" s="175">
        <v>2</v>
      </c>
      <c r="H29" s="175">
        <v>385</v>
      </c>
      <c r="I29" s="175">
        <v>159</v>
      </c>
      <c r="J29" s="177">
        <v>12</v>
      </c>
    </row>
    <row r="30" spans="1:10" hidden="1" x14ac:dyDescent="0.3">
      <c r="A30" s="126">
        <v>519</v>
      </c>
      <c r="B30" s="128">
        <v>12300</v>
      </c>
      <c r="C30" s="128">
        <f t="shared" si="5"/>
        <v>10</v>
      </c>
      <c r="D30" s="128" t="s">
        <v>279</v>
      </c>
      <c r="E30" s="152" t="s">
        <v>298</v>
      </c>
      <c r="F30" s="128">
        <v>10</v>
      </c>
      <c r="G30" s="128"/>
      <c r="H30" s="128"/>
      <c r="I30" s="128"/>
      <c r="J30" s="153"/>
    </row>
  </sheetData>
  <mergeCells count="2">
    <mergeCell ref="A1:D1"/>
    <mergeCell ref="F1:J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HAM-126-1406 Auto Table</vt:lpstr>
      <vt:lpstr>HAM-126-1406 Qty</vt:lpstr>
      <vt:lpstr>HAM-126-1530 Auto Table</vt:lpstr>
      <vt:lpstr>HAM-126-1530 Qty</vt:lpstr>
      <vt:lpstr>HAM-126-1543 Auto Table</vt:lpstr>
      <vt:lpstr>HAM-126-1543 Qty</vt:lpstr>
      <vt:lpstr>HAM-126-1555 Auto Table</vt:lpstr>
      <vt:lpstr>HAM-126-1555 Qty</vt:lpstr>
      <vt:lpstr>HAM-126-1818 Auto Table</vt:lpstr>
      <vt:lpstr>HAM-126-1818 Qty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Cain, Jordan</dc:creator>
  <cp:lastModifiedBy>Howard, Christopher</cp:lastModifiedBy>
  <dcterms:created xsi:type="dcterms:W3CDTF">2024-07-31T16:48:34Z</dcterms:created>
  <dcterms:modified xsi:type="dcterms:W3CDTF">2025-11-07T22:45:34Z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