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X:\Planning\Traffic_Safety\Safety\Safety Applications and Results\2025-03 Applications\202503D08-02(CLI US-22 @ SR-380)\"/>
    </mc:Choice>
  </mc:AlternateContent>
  <xr:revisionPtr revIDLastSave="0" documentId="13_ncr:1_{9A2B049F-8E45-4161-A00B-46E1E62098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imate" sheetId="9" r:id="rId1"/>
    <sheet name="Quantitie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9" l="1"/>
  <c r="G18" i="9"/>
  <c r="G17" i="9"/>
  <c r="AD13" i="4"/>
  <c r="U20" i="4"/>
  <c r="U21" i="4"/>
  <c r="N19" i="4"/>
  <c r="D9" i="9" s="1"/>
  <c r="G9" i="9" s="1"/>
  <c r="L14" i="4"/>
  <c r="L12" i="4"/>
  <c r="L11" i="4"/>
  <c r="L10" i="4"/>
  <c r="L9" i="4"/>
  <c r="K12" i="4"/>
  <c r="K11" i="4"/>
  <c r="K10" i="4"/>
  <c r="K9" i="4"/>
  <c r="R18" i="4" l="1"/>
  <c r="R17" i="4"/>
  <c r="H7" i="4"/>
  <c r="H5" i="4"/>
  <c r="U6" i="4"/>
  <c r="U7" i="4"/>
  <c r="U18" i="4" l="1"/>
  <c r="G15" i="9" l="1"/>
  <c r="A30" i="9"/>
  <c r="D27" i="9"/>
  <c r="J19" i="4" l="1"/>
  <c r="D16" i="9" s="1"/>
  <c r="G16" i="9" s="1"/>
  <c r="U5" i="4" l="1"/>
  <c r="U16" i="4"/>
  <c r="U43" i="4"/>
  <c r="U42" i="4"/>
  <c r="U19" i="4"/>
  <c r="U17" i="4"/>
  <c r="U32" i="4"/>
  <c r="U25" i="4" l="1"/>
  <c r="G21" i="9" s="1"/>
  <c r="U48" i="4"/>
  <c r="G24" i="9" s="1"/>
  <c r="U10" i="4"/>
  <c r="G20" i="9" s="1"/>
  <c r="I19" i="4" l="1"/>
  <c r="D4" i="9" s="1"/>
  <c r="G4" i="9" s="1"/>
  <c r="M19" i="4"/>
  <c r="H19" i="4" l="1"/>
  <c r="D5" i="9" s="1"/>
  <c r="G5" i="9" s="1"/>
  <c r="C19" i="4"/>
  <c r="D12" i="9" s="1"/>
  <c r="G12" i="9" s="1"/>
  <c r="B19" i="4"/>
  <c r="D11" i="9" s="1"/>
  <c r="G11" i="9" s="1"/>
  <c r="F19" i="4"/>
  <c r="D7" i="9" s="1"/>
  <c r="G7" i="9" s="1"/>
  <c r="G19" i="4"/>
  <c r="D6" i="9" s="1"/>
  <c r="G6" i="9" s="1"/>
  <c r="E19" i="4"/>
  <c r="D8" i="9" s="1"/>
  <c r="G8" i="9" s="1"/>
  <c r="D19" i="4"/>
  <c r="R31" i="4" s="1"/>
  <c r="O19" i="4"/>
  <c r="D10" i="9" s="1"/>
  <c r="G10" i="9" s="1"/>
  <c r="U31" i="4" l="1"/>
  <c r="U37" i="4" s="1"/>
  <c r="G19" i="9" s="1"/>
  <c r="L19" i="4"/>
  <c r="D13" i="9" s="1"/>
  <c r="G13" i="9" s="1"/>
  <c r="K19" i="4"/>
  <c r="D14" i="9" s="1"/>
  <c r="G14" i="9" s="1"/>
  <c r="G25" i="9" l="1"/>
  <c r="G27" i="9" l="1"/>
  <c r="G28" i="9" s="1"/>
  <c r="E29" i="9" s="1"/>
  <c r="G26" i="9"/>
</calcChain>
</file>

<file path=xl/sharedStrings.xml><?xml version="1.0" encoding="utf-8"?>
<sst xmlns="http://schemas.openxmlformats.org/spreadsheetml/2006/main" count="141" uniqueCount="96">
  <si>
    <t>Excavation (CU YD)</t>
  </si>
  <si>
    <t>Embankment (CU YD)</t>
  </si>
  <si>
    <t>Surface Course (CU YD)</t>
  </si>
  <si>
    <t>Aggregate Base (CU YD)</t>
  </si>
  <si>
    <t>TOTALS</t>
  </si>
  <si>
    <t>Drainage</t>
  </si>
  <si>
    <t>Traffic Control</t>
  </si>
  <si>
    <t>Incidentals</t>
  </si>
  <si>
    <t>Base Course (CU YD)</t>
  </si>
  <si>
    <t>Pavement Removed (SY)</t>
  </si>
  <si>
    <t>Interm Course (CU YD)</t>
  </si>
  <si>
    <t>Seeding and Mulching (SY)</t>
  </si>
  <si>
    <t>Description</t>
  </si>
  <si>
    <t>4" Concrete Median (SY)</t>
  </si>
  <si>
    <t>Type 9 Curb (FT)</t>
  </si>
  <si>
    <t>Corridor Quantities (and Calculations)</t>
  </si>
  <si>
    <t>Guardrail</t>
  </si>
  <si>
    <t>Erosion Control</t>
  </si>
  <si>
    <t xml:space="preserve">644 Center Line </t>
  </si>
  <si>
    <t>Underdrains</t>
  </si>
  <si>
    <t>644 Edge Line</t>
  </si>
  <si>
    <t>Total =</t>
  </si>
  <si>
    <t>S&amp;M</t>
  </si>
  <si>
    <t xml:space="preserve">Item </t>
  </si>
  <si>
    <t>Qty</t>
  </si>
  <si>
    <t>Unit cost</t>
  </si>
  <si>
    <t>Total Cost</t>
  </si>
  <si>
    <t>SS 832</t>
  </si>
  <si>
    <t>Unit</t>
  </si>
  <si>
    <t>EA</t>
  </si>
  <si>
    <t>SY</t>
  </si>
  <si>
    <t>MI</t>
  </si>
  <si>
    <t>FT</t>
  </si>
  <si>
    <t>RAB SIGNING</t>
  </si>
  <si>
    <t>Mobilization</t>
  </si>
  <si>
    <t>Const. Stakes &amp; Survey</t>
  </si>
  <si>
    <t>LS</t>
  </si>
  <si>
    <t xml:space="preserve">Circulatory Roadway </t>
  </si>
  <si>
    <t>644 Yield Line</t>
  </si>
  <si>
    <t>9" Concrete Pavement (SY)</t>
  </si>
  <si>
    <t>Pavement Planing (SY)</t>
  </si>
  <si>
    <t>Preliminary Construction Estimate</t>
  </si>
  <si>
    <t>Roadway Pavement</t>
  </si>
  <si>
    <t>Sq. Yds.</t>
  </si>
  <si>
    <t>Asphalt Surface</t>
  </si>
  <si>
    <t>Cu. Yds.</t>
  </si>
  <si>
    <t>Asphalt Intermediate</t>
  </si>
  <si>
    <t>Asphalt Base</t>
  </si>
  <si>
    <t>Aggregate Base</t>
  </si>
  <si>
    <t>Pavement Removed</t>
  </si>
  <si>
    <t>Earthwork</t>
  </si>
  <si>
    <t>Excavation</t>
  </si>
  <si>
    <t>Embankment</t>
  </si>
  <si>
    <t>Curb</t>
  </si>
  <si>
    <t>Ft.</t>
  </si>
  <si>
    <t>Curb and Gutter</t>
  </si>
  <si>
    <t>Concrete Median</t>
  </si>
  <si>
    <t>SUBTOTAL</t>
  </si>
  <si>
    <t>See Quantities Sheet</t>
  </si>
  <si>
    <t xml:space="preserve">Drainage </t>
  </si>
  <si>
    <t>Maintenance of Traffic</t>
  </si>
  <si>
    <t>Lighting</t>
  </si>
  <si>
    <t>TOTAL ROADWAY COSTS</t>
  </si>
  <si>
    <t>Contingency</t>
  </si>
  <si>
    <t>TOTAL CONSTRUCTION COST</t>
  </si>
  <si>
    <t>Pavement Planing</t>
  </si>
  <si>
    <t>9" Concrete Pavement</t>
  </si>
  <si>
    <t>Quantity</t>
  </si>
  <si>
    <t>#</t>
  </si>
  <si>
    <t>Category</t>
  </si>
  <si>
    <t>Item</t>
  </si>
  <si>
    <t>Unit Cost</t>
  </si>
  <si>
    <t>Misc Drainage for RAB</t>
  </si>
  <si>
    <t>12" Type D</t>
  </si>
  <si>
    <t>Residential Driveway 1</t>
  </si>
  <si>
    <t>Transition 22 W</t>
  </si>
  <si>
    <t>Transition Creek Rd S</t>
  </si>
  <si>
    <t>Transition 380 N</t>
  </si>
  <si>
    <t>22 W</t>
  </si>
  <si>
    <t>Creek Rd S</t>
  </si>
  <si>
    <t>22 E</t>
  </si>
  <si>
    <t>380 N</t>
  </si>
  <si>
    <t>646 Center Line</t>
  </si>
  <si>
    <t>646 Edge Line</t>
  </si>
  <si>
    <t>Type 3 Curb &amp; Gutter(FT)</t>
  </si>
  <si>
    <t>Type 6 Curb (FT)</t>
  </si>
  <si>
    <t>lighting</t>
  </si>
  <si>
    <t>$155,000/RAB</t>
  </si>
  <si>
    <t>pid 114613</t>
  </si>
  <si>
    <t>avg:</t>
  </si>
  <si>
    <t>pid 113720</t>
  </si>
  <si>
    <t>pid 111657</t>
  </si>
  <si>
    <t>CLI-22/380 Roundabout</t>
  </si>
  <si>
    <t>Inflation (Assuming 2029 construction)</t>
  </si>
  <si>
    <t>Seeding and Mulching</t>
  </si>
  <si>
    <t>≈ 8% Construction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</si>
</sst>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&quot;$&quot;#,##0"/>
    <numFmt numFmtId="167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6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22"/>
      <color rgb="FF00B050"/>
      <name val="Arial"/>
      <family val="2"/>
    </font>
    <font>
      <b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1" fontId="0" fillId="0" borderId="3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6" borderId="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1" fontId="0" fillId="0" borderId="21" xfId="0" applyNumberFormat="1" applyBorder="1" applyAlignment="1">
      <alignment horizontal="center" vertical="center" wrapText="1"/>
    </xf>
    <xf numFmtId="0" fontId="0" fillId="0" borderId="22" xfId="0" applyBorder="1"/>
    <xf numFmtId="0" fontId="2" fillId="0" borderId="0" xfId="0" applyFont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" xfId="0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44" fontId="0" fillId="0" borderId="27" xfId="0" applyNumberFormat="1" applyBorder="1" applyAlignment="1">
      <alignment horizontal="center"/>
    </xf>
    <xf numFmtId="44" fontId="0" fillId="0" borderId="25" xfId="0" applyNumberFormat="1" applyBorder="1" applyAlignment="1">
      <alignment horizontal="center"/>
    </xf>
    <xf numFmtId="44" fontId="0" fillId="0" borderId="29" xfId="0" applyNumberFormat="1" applyBorder="1" applyAlignment="1">
      <alignment horizontal="center"/>
    </xf>
    <xf numFmtId="44" fontId="0" fillId="0" borderId="31" xfId="0" applyNumberFormat="1" applyBorder="1" applyAlignment="1">
      <alignment horizont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0" xfId="0" applyNumberFormat="1"/>
    <xf numFmtId="0" fontId="8" fillId="0" borderId="32" xfId="0" applyFont="1" applyBorder="1" applyAlignment="1">
      <alignment horizontal="left" vertical="center" indent="1"/>
    </xf>
    <xf numFmtId="0" fontId="8" fillId="0" borderId="32" xfId="0" applyFont="1" applyBorder="1" applyAlignment="1">
      <alignment horizontal="center" vertical="center"/>
    </xf>
    <xf numFmtId="165" fontId="8" fillId="0" borderId="32" xfId="0" applyNumberFormat="1" applyFont="1" applyBorder="1" applyAlignment="1">
      <alignment horizontal="center" vertical="center"/>
    </xf>
    <xf numFmtId="166" fontId="8" fillId="0" borderId="32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7" fontId="8" fillId="0" borderId="32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/>
    </xf>
    <xf numFmtId="1" fontId="8" fillId="0" borderId="32" xfId="0" applyNumberFormat="1" applyFont="1" applyBorder="1" applyAlignment="1">
      <alignment horizontal="left" vertical="center" indent="1"/>
    </xf>
    <xf numFmtId="0" fontId="0" fillId="0" borderId="32" xfId="0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44" fontId="0" fillId="0" borderId="24" xfId="1" applyFont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44" fontId="0" fillId="0" borderId="0" xfId="1" applyFont="1"/>
    <xf numFmtId="0" fontId="0" fillId="0" borderId="39" xfId="0" applyBorder="1"/>
    <xf numFmtId="0" fontId="0" fillId="0" borderId="40" xfId="0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8" fillId="0" borderId="1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9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 indent="1"/>
    </xf>
    <xf numFmtId="0" fontId="10" fillId="0" borderId="32" xfId="0" applyFont="1" applyBorder="1" applyAlignment="1">
      <alignment horizontal="center" vertical="center"/>
    </xf>
    <xf numFmtId="166" fontId="11" fillId="0" borderId="32" xfId="0" applyNumberFormat="1" applyFont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0" fillId="8" borderId="1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C569B-3F4F-429C-B7CE-E5A2BEA459AC}">
  <sheetPr>
    <pageSetUpPr fitToPage="1"/>
  </sheetPr>
  <dimension ref="A1:G30"/>
  <sheetViews>
    <sheetView tabSelected="1" topLeftCell="A4" zoomScale="85" zoomScaleNormal="85" workbookViewId="0">
      <selection activeCell="O13" sqref="O13"/>
    </sheetView>
  </sheetViews>
  <sheetFormatPr defaultRowHeight="15" x14ac:dyDescent="0.25"/>
  <cols>
    <col min="1" max="1" width="4.7109375" bestFit="1" customWidth="1"/>
    <col min="2" max="2" width="53.42578125" customWidth="1"/>
    <col min="3" max="3" width="40.5703125" customWidth="1"/>
    <col min="4" max="4" width="23" bestFit="1" customWidth="1"/>
    <col min="5" max="5" width="13.85546875" bestFit="1" customWidth="1"/>
    <col min="6" max="6" width="18.7109375" bestFit="1" customWidth="1"/>
    <col min="7" max="7" width="20.7109375" customWidth="1"/>
  </cols>
  <sheetData>
    <row r="1" spans="1:7" ht="55.5" customHeight="1" thickBot="1" x14ac:dyDescent="0.3">
      <c r="A1" s="70" t="s">
        <v>41</v>
      </c>
      <c r="B1" s="70"/>
      <c r="C1" s="70"/>
      <c r="D1" s="70"/>
      <c r="E1" s="70"/>
      <c r="F1" s="70"/>
      <c r="G1" s="70"/>
    </row>
    <row r="2" spans="1:7" ht="42.75" customHeight="1" thickBot="1" x14ac:dyDescent="0.3">
      <c r="A2" s="71" t="s">
        <v>92</v>
      </c>
      <c r="B2" s="72"/>
      <c r="C2" s="72"/>
      <c r="D2" s="72"/>
      <c r="E2" s="72"/>
      <c r="F2" s="72"/>
      <c r="G2" s="73"/>
    </row>
    <row r="3" spans="1:7" ht="27" thickBot="1" x14ac:dyDescent="0.3">
      <c r="A3" s="47" t="s">
        <v>68</v>
      </c>
      <c r="B3" s="48" t="s">
        <v>69</v>
      </c>
      <c r="C3" s="48" t="s">
        <v>70</v>
      </c>
      <c r="D3" s="48" t="s">
        <v>67</v>
      </c>
      <c r="E3" s="49" t="s">
        <v>28</v>
      </c>
      <c r="F3" s="48" t="s">
        <v>71</v>
      </c>
      <c r="G3" s="48" t="s">
        <v>26</v>
      </c>
    </row>
    <row r="4" spans="1:7" ht="21" thickBot="1" x14ac:dyDescent="0.3">
      <c r="A4" s="74">
        <v>1</v>
      </c>
      <c r="B4" s="67" t="s">
        <v>42</v>
      </c>
      <c r="C4" s="38" t="s">
        <v>66</v>
      </c>
      <c r="D4" s="38">
        <f>Quantities!I19</f>
        <v>762</v>
      </c>
      <c r="E4" s="38" t="s">
        <v>43</v>
      </c>
      <c r="F4" s="39">
        <v>135</v>
      </c>
      <c r="G4" s="40">
        <f>F4*D4</f>
        <v>102870</v>
      </c>
    </row>
    <row r="5" spans="1:7" ht="21" thickBot="1" x14ac:dyDescent="0.3">
      <c r="A5" s="75"/>
      <c r="B5" s="67"/>
      <c r="C5" s="38" t="s">
        <v>44</v>
      </c>
      <c r="D5" s="38">
        <f>Quantities!H19</f>
        <v>270</v>
      </c>
      <c r="E5" s="38" t="s">
        <v>45</v>
      </c>
      <c r="F5" s="39">
        <v>315</v>
      </c>
      <c r="G5" s="40">
        <f t="shared" ref="G5:G16" si="0">F5*D5</f>
        <v>85050</v>
      </c>
    </row>
    <row r="6" spans="1:7" ht="21" thickBot="1" x14ac:dyDescent="0.3">
      <c r="A6" s="75"/>
      <c r="B6" s="67"/>
      <c r="C6" s="38" t="s">
        <v>46</v>
      </c>
      <c r="D6" s="38">
        <f>Quantities!G19</f>
        <v>336</v>
      </c>
      <c r="E6" s="38" t="s">
        <v>45</v>
      </c>
      <c r="F6" s="39">
        <v>282</v>
      </c>
      <c r="G6" s="40">
        <f t="shared" si="0"/>
        <v>94752</v>
      </c>
    </row>
    <row r="7" spans="1:7" ht="21" thickBot="1" x14ac:dyDescent="0.3">
      <c r="A7" s="75"/>
      <c r="B7" s="67"/>
      <c r="C7" s="38" t="s">
        <v>47</v>
      </c>
      <c r="D7" s="38">
        <f>Quantities!F19</f>
        <v>1153</v>
      </c>
      <c r="E7" s="38" t="s">
        <v>45</v>
      </c>
      <c r="F7" s="39">
        <v>180</v>
      </c>
      <c r="G7" s="40">
        <f t="shared" si="0"/>
        <v>207540</v>
      </c>
    </row>
    <row r="8" spans="1:7" ht="21" thickBot="1" x14ac:dyDescent="0.3">
      <c r="A8" s="76"/>
      <c r="B8" s="67"/>
      <c r="C8" s="38" t="s">
        <v>48</v>
      </c>
      <c r="D8" s="38">
        <f>Quantities!E19</f>
        <v>1391</v>
      </c>
      <c r="E8" s="38" t="s">
        <v>45</v>
      </c>
      <c r="F8" s="39">
        <v>74</v>
      </c>
      <c r="G8" s="40">
        <f t="shared" si="0"/>
        <v>102934</v>
      </c>
    </row>
    <row r="9" spans="1:7" ht="21" thickBot="1" x14ac:dyDescent="0.3">
      <c r="A9" s="74">
        <v>2</v>
      </c>
      <c r="B9" s="67"/>
      <c r="C9" s="38" t="s">
        <v>65</v>
      </c>
      <c r="D9" s="38">
        <f>Quantities!N19</f>
        <v>528</v>
      </c>
      <c r="E9" s="38" t="s">
        <v>43</v>
      </c>
      <c r="F9" s="39">
        <v>14.3</v>
      </c>
      <c r="G9" s="40">
        <f t="shared" si="0"/>
        <v>7550.4000000000005</v>
      </c>
    </row>
    <row r="10" spans="1:7" ht="21" thickBot="1" x14ac:dyDescent="0.3">
      <c r="A10" s="76"/>
      <c r="B10" s="67"/>
      <c r="C10" s="41" t="s">
        <v>49</v>
      </c>
      <c r="D10" s="38">
        <f>Quantities!O19</f>
        <v>4998</v>
      </c>
      <c r="E10" s="38" t="s">
        <v>43</v>
      </c>
      <c r="F10" s="39">
        <v>13.6</v>
      </c>
      <c r="G10" s="40">
        <f t="shared" si="0"/>
        <v>67972.800000000003</v>
      </c>
    </row>
    <row r="11" spans="1:7" ht="21" thickBot="1" x14ac:dyDescent="0.3">
      <c r="A11" s="42">
        <v>3</v>
      </c>
      <c r="B11" s="67" t="s">
        <v>50</v>
      </c>
      <c r="C11" s="38" t="s">
        <v>51</v>
      </c>
      <c r="D11" s="38">
        <f>Quantities!B19</f>
        <v>10137</v>
      </c>
      <c r="E11" s="38" t="s">
        <v>45</v>
      </c>
      <c r="F11" s="39">
        <v>17.5</v>
      </c>
      <c r="G11" s="40">
        <f t="shared" si="0"/>
        <v>177397.5</v>
      </c>
    </row>
    <row r="12" spans="1:7" ht="21" thickBot="1" x14ac:dyDescent="0.3">
      <c r="A12" s="42">
        <v>4</v>
      </c>
      <c r="B12" s="67"/>
      <c r="C12" s="38" t="s">
        <v>52</v>
      </c>
      <c r="D12" s="38">
        <f>Quantities!C19</f>
        <v>2266</v>
      </c>
      <c r="E12" s="38" t="s">
        <v>45</v>
      </c>
      <c r="F12" s="39">
        <v>23</v>
      </c>
      <c r="G12" s="40">
        <f t="shared" si="0"/>
        <v>52118</v>
      </c>
    </row>
    <row r="13" spans="1:7" ht="21" thickBot="1" x14ac:dyDescent="0.3">
      <c r="A13" s="42">
        <v>5</v>
      </c>
      <c r="B13" s="37" t="s">
        <v>53</v>
      </c>
      <c r="C13" s="37"/>
      <c r="D13" s="38">
        <f>Quantities!L19</f>
        <v>1603</v>
      </c>
      <c r="E13" s="38" t="s">
        <v>54</v>
      </c>
      <c r="F13" s="39">
        <v>23.9</v>
      </c>
      <c r="G13" s="40">
        <f t="shared" si="0"/>
        <v>38311.699999999997</v>
      </c>
    </row>
    <row r="14" spans="1:7" ht="21" thickBot="1" x14ac:dyDescent="0.3">
      <c r="A14" s="42">
        <v>6</v>
      </c>
      <c r="B14" s="37" t="s">
        <v>55</v>
      </c>
      <c r="C14" s="37"/>
      <c r="D14" s="38">
        <f>Quantities!K19+Quantities!M19</f>
        <v>3087</v>
      </c>
      <c r="E14" s="38" t="s">
        <v>54</v>
      </c>
      <c r="F14" s="39">
        <v>32.5</v>
      </c>
      <c r="G14" s="40">
        <f t="shared" si="0"/>
        <v>100327.5</v>
      </c>
    </row>
    <row r="15" spans="1:7" ht="21" thickBot="1" x14ac:dyDescent="0.3">
      <c r="A15" s="42">
        <v>7</v>
      </c>
      <c r="B15" s="37" t="s">
        <v>16</v>
      </c>
      <c r="C15" s="37"/>
      <c r="D15" s="38">
        <v>375</v>
      </c>
      <c r="E15" s="38" t="s">
        <v>54</v>
      </c>
      <c r="F15" s="39">
        <v>23.2</v>
      </c>
      <c r="G15" s="40">
        <f t="shared" si="0"/>
        <v>8700</v>
      </c>
    </row>
    <row r="16" spans="1:7" ht="21" thickBot="1" x14ac:dyDescent="0.3">
      <c r="A16" s="42">
        <v>8</v>
      </c>
      <c r="B16" s="37" t="s">
        <v>56</v>
      </c>
      <c r="C16" s="37"/>
      <c r="D16" s="38">
        <f>Quantities!J19</f>
        <v>536</v>
      </c>
      <c r="E16" s="38" t="s">
        <v>43</v>
      </c>
      <c r="F16" s="39">
        <v>107</v>
      </c>
      <c r="G16" s="40">
        <f t="shared" si="0"/>
        <v>57352</v>
      </c>
    </row>
    <row r="17" spans="1:7" ht="21" thickBot="1" x14ac:dyDescent="0.3">
      <c r="A17" s="42">
        <v>9</v>
      </c>
      <c r="B17" s="37" t="s">
        <v>94</v>
      </c>
      <c r="C17" s="37"/>
      <c r="D17" s="38">
        <v>8307</v>
      </c>
      <c r="E17" s="38" t="s">
        <v>43</v>
      </c>
      <c r="F17" s="39">
        <v>1.5</v>
      </c>
      <c r="G17" s="40">
        <f t="shared" ref="G17" si="1">F17*D17</f>
        <v>12460.5</v>
      </c>
    </row>
    <row r="18" spans="1:7" ht="21" thickBot="1" x14ac:dyDescent="0.3">
      <c r="A18" s="63" t="s">
        <v>57</v>
      </c>
      <c r="B18" s="64"/>
      <c r="C18" s="64"/>
      <c r="D18" s="64"/>
      <c r="E18" s="64"/>
      <c r="F18" s="65"/>
      <c r="G18" s="40">
        <f>SUM(G4:G17)</f>
        <v>1115336.3999999999</v>
      </c>
    </row>
    <row r="19" spans="1:7" ht="21" thickBot="1" x14ac:dyDescent="0.3">
      <c r="A19" s="42">
        <v>10</v>
      </c>
      <c r="B19" s="37" t="s">
        <v>17</v>
      </c>
      <c r="C19" s="37"/>
      <c r="D19" s="61" t="s">
        <v>58</v>
      </c>
      <c r="E19" s="62"/>
      <c r="F19" s="39"/>
      <c r="G19" s="40">
        <f>Quantities!U37</f>
        <v>70617</v>
      </c>
    </row>
    <row r="20" spans="1:7" ht="21" thickBot="1" x14ac:dyDescent="0.3">
      <c r="A20" s="42">
        <v>11</v>
      </c>
      <c r="B20" s="37" t="s">
        <v>59</v>
      </c>
      <c r="C20" s="37"/>
      <c r="D20" s="61" t="s">
        <v>58</v>
      </c>
      <c r="E20" s="62"/>
      <c r="F20" s="39"/>
      <c r="G20" s="40">
        <f>Quantities!U10</f>
        <v>132758</v>
      </c>
    </row>
    <row r="21" spans="1:7" ht="21" thickBot="1" x14ac:dyDescent="0.3">
      <c r="A21" s="42">
        <v>12</v>
      </c>
      <c r="B21" s="37" t="s">
        <v>6</v>
      </c>
      <c r="C21" s="37"/>
      <c r="D21" s="61" t="s">
        <v>58</v>
      </c>
      <c r="E21" s="62"/>
      <c r="F21" s="39"/>
      <c r="G21" s="40">
        <f>Quantities!U25</f>
        <v>36776</v>
      </c>
    </row>
    <row r="22" spans="1:7" ht="21" thickBot="1" x14ac:dyDescent="0.3">
      <c r="A22" s="42">
        <v>13</v>
      </c>
      <c r="B22" s="37" t="s">
        <v>60</v>
      </c>
      <c r="C22" s="37"/>
      <c r="D22" s="61" t="s">
        <v>95</v>
      </c>
      <c r="E22" s="62"/>
      <c r="F22" s="39"/>
      <c r="G22" s="40">
        <f>0.08*(G18+G19+G20+G21+G23+G24)</f>
        <v>130438.992</v>
      </c>
    </row>
    <row r="23" spans="1:7" ht="21" thickBot="1" x14ac:dyDescent="0.3">
      <c r="A23" s="42">
        <v>14</v>
      </c>
      <c r="B23" s="37" t="s">
        <v>61</v>
      </c>
      <c r="C23" s="37"/>
      <c r="D23" s="61" t="s">
        <v>87</v>
      </c>
      <c r="E23" s="62"/>
      <c r="F23" s="39"/>
      <c r="G23" s="40">
        <v>155000</v>
      </c>
    </row>
    <row r="24" spans="1:7" ht="21" thickBot="1" x14ac:dyDescent="0.3">
      <c r="A24" s="42">
        <v>15</v>
      </c>
      <c r="B24" s="37" t="s">
        <v>7</v>
      </c>
      <c r="C24" s="37"/>
      <c r="D24" s="61" t="s">
        <v>58</v>
      </c>
      <c r="E24" s="62"/>
      <c r="F24" s="39"/>
      <c r="G24" s="40">
        <f>Quantities!U48</f>
        <v>120000</v>
      </c>
    </row>
    <row r="25" spans="1:7" ht="21" thickBot="1" x14ac:dyDescent="0.3">
      <c r="A25" s="63" t="s">
        <v>57</v>
      </c>
      <c r="B25" s="64"/>
      <c r="C25" s="64"/>
      <c r="D25" s="64"/>
      <c r="E25" s="64"/>
      <c r="F25" s="65"/>
      <c r="G25" s="40">
        <f>SUM(G19:G24)</f>
        <v>645589.99199999997</v>
      </c>
    </row>
    <row r="26" spans="1:7" ht="42" customHeight="1" thickBot="1" x14ac:dyDescent="0.3">
      <c r="A26" s="66" t="s">
        <v>62</v>
      </c>
      <c r="B26" s="66"/>
      <c r="C26" s="66"/>
      <c r="D26" s="66"/>
      <c r="E26" s="66"/>
      <c r="F26" s="66"/>
      <c r="G26" s="40">
        <f>G18+G25</f>
        <v>1760926.392</v>
      </c>
    </row>
    <row r="27" spans="1:7" ht="21" customHeight="1" thickBot="1" x14ac:dyDescent="0.35">
      <c r="A27" s="42">
        <v>15</v>
      </c>
      <c r="B27" s="67" t="s">
        <v>63</v>
      </c>
      <c r="C27" s="67"/>
      <c r="D27" s="38" t="str">
        <f>"% of Items "&amp;$A$4&amp;"-"&amp;A24</f>
        <v>% of Items 1-15</v>
      </c>
      <c r="E27" s="43">
        <v>0.3</v>
      </c>
      <c r="F27" s="44"/>
      <c r="G27" s="40">
        <f>MROUND((G26)*E27,1000)</f>
        <v>528000</v>
      </c>
    </row>
    <row r="28" spans="1:7" ht="30.75" customHeight="1" thickBot="1" x14ac:dyDescent="0.35">
      <c r="A28" s="42">
        <v>16</v>
      </c>
      <c r="B28" s="37" t="s">
        <v>93</v>
      </c>
      <c r="C28" s="45"/>
      <c r="D28" s="46"/>
      <c r="E28" s="43">
        <v>0.193</v>
      </c>
      <c r="F28" s="44"/>
      <c r="G28" s="40">
        <f>SUM(G27,G26)*E28</f>
        <v>441762.79365599999</v>
      </c>
    </row>
    <row r="29" spans="1:7" ht="42" customHeight="1" thickBot="1" x14ac:dyDescent="0.3">
      <c r="A29" s="68" t="s">
        <v>64</v>
      </c>
      <c r="B29" s="68"/>
      <c r="C29" s="68"/>
      <c r="D29" s="68"/>
      <c r="E29" s="69">
        <f>G26+G27+G28</f>
        <v>2730689.1856559999</v>
      </c>
      <c r="F29" s="69"/>
      <c r="G29" s="69"/>
    </row>
    <row r="30" spans="1:7" x14ac:dyDescent="0.25">
      <c r="A30" s="59" t="str">
        <f ca="1">"Date: " &amp; TEXT(TODAY(),"mmmm dd, yyyy")</f>
        <v>Date: March 06, 2025</v>
      </c>
      <c r="B30" s="60"/>
    </row>
  </sheetData>
  <mergeCells count="19">
    <mergeCell ref="A1:G1"/>
    <mergeCell ref="A2:G2"/>
    <mergeCell ref="B4:B10"/>
    <mergeCell ref="B11:B12"/>
    <mergeCell ref="A18:F18"/>
    <mergeCell ref="A4:A8"/>
    <mergeCell ref="A9:A10"/>
    <mergeCell ref="A30:B30"/>
    <mergeCell ref="D19:E19"/>
    <mergeCell ref="D20:E20"/>
    <mergeCell ref="D21:E21"/>
    <mergeCell ref="D22:E22"/>
    <mergeCell ref="D23:E23"/>
    <mergeCell ref="D24:E24"/>
    <mergeCell ref="A25:F25"/>
    <mergeCell ref="A26:F26"/>
    <mergeCell ref="B27:C27"/>
    <mergeCell ref="A29:D29"/>
    <mergeCell ref="E29:G29"/>
  </mergeCells>
  <dataValidations count="2">
    <dataValidation type="list" allowBlank="1" showInputMessage="1" showErrorMessage="1" sqref="C28" xr:uid="{59B23C54-40EF-4DD2-80D0-F3F57FFE58F5}">
      <formula1>"2016,2017,2018,2019,2020,2021,2022,2023"</formula1>
    </dataValidation>
    <dataValidation type="list" allowBlank="1" showInputMessage="1" showErrorMessage="1" sqref="E27" xr:uid="{4F77F2C5-C344-4C42-BB7F-067442153FC9}">
      <formula1>"0,.01,.02,.03,.04,.05,.06,.07,.08,.09,.10,.15,.20,.25,.30"</formula1>
    </dataValidation>
  </dataValidations>
  <pageMargins left="0.7" right="0.7" top="0.75" bottom="0.75" header="0.3" footer="0.3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B011-1003-4A46-B833-A969FB0445B3}">
  <sheetPr>
    <pageSetUpPr fitToPage="1"/>
  </sheetPr>
  <dimension ref="A1:AD48"/>
  <sheetViews>
    <sheetView topLeftCell="F9" zoomScale="85" zoomScaleNormal="85" workbookViewId="0">
      <selection activeCell="K19" activeCellId="1" sqref="M19 K19"/>
    </sheetView>
  </sheetViews>
  <sheetFormatPr defaultRowHeight="15" x14ac:dyDescent="0.25"/>
  <cols>
    <col min="1" max="1" width="43.5703125" customWidth="1"/>
    <col min="2" max="2" width="12.7109375" customWidth="1"/>
    <col min="3" max="3" width="12.7109375" bestFit="1" customWidth="1"/>
    <col min="4" max="14" width="12.7109375" customWidth="1"/>
    <col min="15" max="15" width="13.42578125" customWidth="1"/>
    <col min="17" max="17" width="21.85546875" bestFit="1" customWidth="1"/>
    <col min="20" max="20" width="12.85546875" customWidth="1"/>
    <col min="21" max="21" width="39.7109375" customWidth="1"/>
    <col min="27" max="27" width="10.7109375" bestFit="1" customWidth="1"/>
  </cols>
  <sheetData>
    <row r="1" spans="1:30" ht="15.75" thickBot="1" x14ac:dyDescent="0.3">
      <c r="A1" s="85" t="s">
        <v>15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30" ht="15" customHeight="1" x14ac:dyDescent="0.45">
      <c r="A2" s="87" t="s">
        <v>12</v>
      </c>
      <c r="B2" s="89" t="s">
        <v>0</v>
      </c>
      <c r="C2" s="89" t="s">
        <v>1</v>
      </c>
      <c r="D2" s="89" t="s">
        <v>11</v>
      </c>
      <c r="E2" s="95" t="s">
        <v>3</v>
      </c>
      <c r="F2" s="97" t="s">
        <v>8</v>
      </c>
      <c r="G2" s="97" t="s">
        <v>10</v>
      </c>
      <c r="H2" s="97" t="s">
        <v>2</v>
      </c>
      <c r="I2" s="93" t="s">
        <v>39</v>
      </c>
      <c r="J2" s="100" t="s">
        <v>13</v>
      </c>
      <c r="K2" s="100" t="s">
        <v>84</v>
      </c>
      <c r="L2" s="100" t="s">
        <v>85</v>
      </c>
      <c r="M2" s="100" t="s">
        <v>14</v>
      </c>
      <c r="N2" s="91" t="s">
        <v>40</v>
      </c>
      <c r="O2" s="91" t="s">
        <v>9</v>
      </c>
      <c r="Q2" s="79" t="s">
        <v>5</v>
      </c>
      <c r="R2" s="81"/>
      <c r="S2" s="20"/>
    </row>
    <row r="3" spans="1:30" ht="28.15" customHeight="1" thickBot="1" x14ac:dyDescent="0.5">
      <c r="A3" s="88"/>
      <c r="B3" s="90"/>
      <c r="C3" s="90"/>
      <c r="D3" s="90"/>
      <c r="E3" s="96"/>
      <c r="F3" s="98"/>
      <c r="G3" s="98"/>
      <c r="H3" s="98"/>
      <c r="I3" s="94"/>
      <c r="J3" s="101"/>
      <c r="K3" s="101"/>
      <c r="L3" s="101"/>
      <c r="M3" s="101"/>
      <c r="N3" s="92"/>
      <c r="O3" s="92"/>
      <c r="Q3" s="82"/>
      <c r="R3" s="84"/>
      <c r="S3" s="20"/>
    </row>
    <row r="4" spans="1:30" ht="15.75" thickBot="1" x14ac:dyDescent="0.3">
      <c r="A4" s="1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Q4" s="21" t="s">
        <v>23</v>
      </c>
      <c r="R4" s="22" t="s">
        <v>24</v>
      </c>
      <c r="S4" s="22" t="s">
        <v>28</v>
      </c>
      <c r="T4" s="22" t="s">
        <v>25</v>
      </c>
      <c r="U4" s="23" t="s">
        <v>26</v>
      </c>
    </row>
    <row r="5" spans="1:30" x14ac:dyDescent="0.25">
      <c r="A5" s="16" t="s">
        <v>75</v>
      </c>
      <c r="B5" s="17"/>
      <c r="C5" s="17"/>
      <c r="D5" s="18"/>
      <c r="E5" s="17"/>
      <c r="F5" s="17"/>
      <c r="G5" s="17"/>
      <c r="H5" s="17">
        <f>ROUNDUP(2268*(1.5/12)/27,0)</f>
        <v>11</v>
      </c>
      <c r="I5" s="17"/>
      <c r="J5" s="17"/>
      <c r="K5" s="17"/>
      <c r="L5" s="17"/>
      <c r="M5" s="17"/>
      <c r="N5" s="17"/>
      <c r="O5" s="10"/>
      <c r="Q5" s="24" t="s">
        <v>19</v>
      </c>
      <c r="R5" s="27">
        <v>3090</v>
      </c>
      <c r="S5" s="27" t="s">
        <v>32</v>
      </c>
      <c r="T5" s="28">
        <v>15.9</v>
      </c>
      <c r="U5" s="31">
        <f>T5*R5</f>
        <v>49131</v>
      </c>
    </row>
    <row r="6" spans="1:30" x14ac:dyDescent="0.25">
      <c r="A6" s="16" t="s">
        <v>76</v>
      </c>
      <c r="B6" s="6">
        <v>24</v>
      </c>
      <c r="C6" s="6">
        <v>28</v>
      </c>
      <c r="D6" s="6">
        <v>133</v>
      </c>
      <c r="E6" s="6">
        <v>9</v>
      </c>
      <c r="F6" s="6">
        <v>8</v>
      </c>
      <c r="G6" s="6">
        <v>2</v>
      </c>
      <c r="H6" s="6">
        <v>5</v>
      </c>
      <c r="I6" s="6"/>
      <c r="J6" s="6"/>
      <c r="K6" s="6"/>
      <c r="L6" s="6"/>
      <c r="M6" s="6"/>
      <c r="N6" s="6"/>
      <c r="O6" s="10"/>
      <c r="Q6" s="25" t="s">
        <v>73</v>
      </c>
      <c r="R6" s="54">
        <v>45</v>
      </c>
      <c r="S6" s="2" t="s">
        <v>32</v>
      </c>
      <c r="T6" s="56">
        <v>80.599999999999994</v>
      </c>
      <c r="U6" s="33">
        <f t="shared" ref="U6" si="0">T6*R6</f>
        <v>3626.9999999999995</v>
      </c>
    </row>
    <row r="7" spans="1:30" x14ac:dyDescent="0.25">
      <c r="A7" s="16" t="s">
        <v>77</v>
      </c>
      <c r="B7" s="6"/>
      <c r="C7" s="6"/>
      <c r="D7" s="6"/>
      <c r="E7" s="6"/>
      <c r="F7" s="6"/>
      <c r="G7" s="6"/>
      <c r="H7" s="17">
        <f>ROUNDUP(1680*(1.5/12)/27,0)</f>
        <v>8</v>
      </c>
      <c r="I7" s="6"/>
      <c r="J7" s="6"/>
      <c r="K7" s="6"/>
      <c r="L7" s="6"/>
      <c r="M7" s="6"/>
      <c r="N7" s="6"/>
      <c r="O7" s="10"/>
      <c r="Q7" s="102" t="s">
        <v>72</v>
      </c>
      <c r="R7" s="103"/>
      <c r="S7" s="104"/>
      <c r="T7" s="29">
        <v>80000</v>
      </c>
      <c r="U7" s="33">
        <f>T7</f>
        <v>80000</v>
      </c>
    </row>
    <row r="8" spans="1:30" x14ac:dyDescent="0.25">
      <c r="A8" s="1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0"/>
      <c r="Q8" s="25"/>
      <c r="R8" s="2"/>
      <c r="S8" s="2"/>
      <c r="T8" s="29"/>
      <c r="U8" s="33"/>
    </row>
    <row r="9" spans="1:30" ht="15.75" thickBot="1" x14ac:dyDescent="0.3">
      <c r="A9" s="16" t="s">
        <v>78</v>
      </c>
      <c r="B9" s="6">
        <v>3101</v>
      </c>
      <c r="C9" s="6">
        <v>22</v>
      </c>
      <c r="D9" s="6">
        <v>1996</v>
      </c>
      <c r="E9" s="6">
        <v>303</v>
      </c>
      <c r="F9" s="6">
        <v>262</v>
      </c>
      <c r="G9" s="6">
        <v>77</v>
      </c>
      <c r="H9" s="6">
        <v>55</v>
      </c>
      <c r="I9" s="6">
        <v>103</v>
      </c>
      <c r="J9" s="10">
        <v>141</v>
      </c>
      <c r="K9" s="6">
        <f>289*2</f>
        <v>578</v>
      </c>
      <c r="L9" s="6">
        <f>150*2+185</f>
        <v>485</v>
      </c>
      <c r="M9" s="6"/>
      <c r="N9" s="6">
        <v>252</v>
      </c>
      <c r="O9" s="10">
        <v>1167</v>
      </c>
      <c r="Q9" s="26"/>
      <c r="R9" s="7"/>
      <c r="S9" s="7"/>
      <c r="T9" s="30"/>
      <c r="U9" s="34"/>
    </row>
    <row r="10" spans="1:30" ht="15.75" thickBot="1" x14ac:dyDescent="0.3">
      <c r="A10" s="16" t="s">
        <v>79</v>
      </c>
      <c r="B10" s="6">
        <v>1785</v>
      </c>
      <c r="C10" s="6">
        <v>1683</v>
      </c>
      <c r="D10" s="6">
        <v>2911</v>
      </c>
      <c r="E10" s="6">
        <v>416</v>
      </c>
      <c r="F10" s="6">
        <v>371</v>
      </c>
      <c r="G10" s="6">
        <v>108</v>
      </c>
      <c r="H10" s="6">
        <v>77</v>
      </c>
      <c r="I10" s="6"/>
      <c r="J10" s="10">
        <v>159</v>
      </c>
      <c r="K10" s="6">
        <f>552*2</f>
        <v>1104</v>
      </c>
      <c r="L10" s="6">
        <f>150*2</f>
        <v>300</v>
      </c>
      <c r="M10" s="6"/>
      <c r="N10" s="6">
        <v>89</v>
      </c>
      <c r="O10" s="10">
        <v>1709</v>
      </c>
      <c r="Q10" s="77" t="s">
        <v>21</v>
      </c>
      <c r="R10" s="78"/>
      <c r="S10" s="78"/>
      <c r="T10" s="78"/>
      <c r="U10" s="35">
        <f>ROUND(SUM(U5:U9),0)</f>
        <v>132758</v>
      </c>
    </row>
    <row r="11" spans="1:30" ht="15" customHeight="1" x14ac:dyDescent="0.45">
      <c r="A11" s="16" t="s">
        <v>80</v>
      </c>
      <c r="B11" s="6">
        <v>401</v>
      </c>
      <c r="C11" s="6">
        <v>96</v>
      </c>
      <c r="D11" s="6">
        <v>590</v>
      </c>
      <c r="E11" s="6">
        <v>133</v>
      </c>
      <c r="F11" s="6">
        <v>126</v>
      </c>
      <c r="G11" s="6">
        <v>37</v>
      </c>
      <c r="H11" s="6">
        <v>26</v>
      </c>
      <c r="I11" s="6"/>
      <c r="J11" s="10">
        <v>49</v>
      </c>
      <c r="K11" s="6">
        <f>118*2</f>
        <v>236</v>
      </c>
      <c r="L11" s="6">
        <f>70*2</f>
        <v>140</v>
      </c>
      <c r="M11" s="6"/>
      <c r="N11" s="6"/>
      <c r="O11" s="10">
        <v>650</v>
      </c>
      <c r="Q11" s="4"/>
      <c r="R11" s="4"/>
      <c r="S11" s="4"/>
      <c r="T11" s="4"/>
      <c r="AA11" s="99" t="s">
        <v>86</v>
      </c>
      <c r="AB11" s="99"/>
    </row>
    <row r="12" spans="1:30" ht="15" customHeight="1" thickBot="1" x14ac:dyDescent="0.3">
      <c r="A12" s="16" t="s">
        <v>81</v>
      </c>
      <c r="B12" s="6">
        <v>4255</v>
      </c>
      <c r="C12" s="6">
        <v>72</v>
      </c>
      <c r="D12" s="6">
        <v>2055</v>
      </c>
      <c r="E12" s="6">
        <v>389</v>
      </c>
      <c r="F12" s="6">
        <v>323</v>
      </c>
      <c r="G12" s="6">
        <v>94</v>
      </c>
      <c r="H12" s="6">
        <v>67</v>
      </c>
      <c r="I12" s="6">
        <v>202</v>
      </c>
      <c r="J12" s="10">
        <v>187</v>
      </c>
      <c r="K12" s="6">
        <f>437*2</f>
        <v>874</v>
      </c>
      <c r="L12" s="6">
        <f>150*2+189</f>
        <v>489</v>
      </c>
      <c r="M12" s="6"/>
      <c r="N12" s="6">
        <v>187</v>
      </c>
      <c r="O12" s="10">
        <v>1472</v>
      </c>
      <c r="AA12" t="s">
        <v>91</v>
      </c>
      <c r="AB12" s="57">
        <v>160114</v>
      </c>
      <c r="AD12" t="s">
        <v>89</v>
      </c>
    </row>
    <row r="13" spans="1:30" x14ac:dyDescent="0.25">
      <c r="A13" s="1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0"/>
      <c r="P13" s="1"/>
      <c r="Q13" s="79" t="s">
        <v>6</v>
      </c>
      <c r="R13" s="80"/>
      <c r="S13" s="80"/>
      <c r="T13" s="81"/>
      <c r="AA13" t="s">
        <v>90</v>
      </c>
      <c r="AB13" s="58">
        <v>131568</v>
      </c>
      <c r="AD13">
        <f>AVERAGE(AB12:AB14)</f>
        <v>154043</v>
      </c>
    </row>
    <row r="14" spans="1:30" ht="15" customHeight="1" thickBot="1" x14ac:dyDescent="0.3">
      <c r="A14" s="15" t="s">
        <v>37</v>
      </c>
      <c r="B14" s="6">
        <v>472</v>
      </c>
      <c r="C14" s="6">
        <v>365</v>
      </c>
      <c r="D14" s="6">
        <v>622</v>
      </c>
      <c r="E14" s="6">
        <v>116</v>
      </c>
      <c r="F14" s="6">
        <v>63</v>
      </c>
      <c r="G14" s="6">
        <v>18</v>
      </c>
      <c r="H14" s="6">
        <v>13</v>
      </c>
      <c r="I14" s="6">
        <v>457</v>
      </c>
      <c r="J14" s="6"/>
      <c r="K14" s="6"/>
      <c r="L14" s="6">
        <f>189</f>
        <v>189</v>
      </c>
      <c r="M14" s="6">
        <v>295</v>
      </c>
      <c r="N14" s="6"/>
      <c r="O14" s="10"/>
      <c r="Q14" s="82"/>
      <c r="R14" s="83"/>
      <c r="S14" s="83"/>
      <c r="T14" s="84"/>
      <c r="AA14" t="s">
        <v>88</v>
      </c>
      <c r="AB14" s="58">
        <v>170447</v>
      </c>
    </row>
    <row r="15" spans="1:30" ht="15" customHeight="1" thickBot="1" x14ac:dyDescent="0.3">
      <c r="A15" s="1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0"/>
      <c r="Q15" s="21" t="s">
        <v>23</v>
      </c>
      <c r="R15" s="22" t="s">
        <v>24</v>
      </c>
      <c r="S15" s="22" t="s">
        <v>28</v>
      </c>
      <c r="T15" s="22" t="s">
        <v>25</v>
      </c>
      <c r="U15" s="23" t="s">
        <v>26</v>
      </c>
    </row>
    <row r="16" spans="1:30" x14ac:dyDescent="0.25">
      <c r="A16" s="51" t="s">
        <v>74</v>
      </c>
      <c r="B16" s="6">
        <v>99</v>
      </c>
      <c r="C16" s="6"/>
      <c r="D16" s="6"/>
      <c r="E16" s="6">
        <v>25</v>
      </c>
      <c r="F16" s="6"/>
      <c r="G16" s="6"/>
      <c r="H16" s="6">
        <v>8</v>
      </c>
      <c r="I16" s="6"/>
      <c r="J16" s="6"/>
      <c r="K16" s="6"/>
      <c r="L16" s="6"/>
      <c r="M16" s="6"/>
      <c r="N16" s="6"/>
      <c r="O16" s="10"/>
      <c r="Q16" s="24" t="s">
        <v>18</v>
      </c>
      <c r="R16" s="27">
        <v>0.1</v>
      </c>
      <c r="S16" s="27" t="s">
        <v>31</v>
      </c>
      <c r="T16" s="28">
        <v>11529</v>
      </c>
      <c r="U16" s="31">
        <f>T16*R16</f>
        <v>1152.9000000000001</v>
      </c>
    </row>
    <row r="17" spans="1:21" x14ac:dyDescent="0.25">
      <c r="A17" s="1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1"/>
      <c r="Q17" s="25" t="s">
        <v>20</v>
      </c>
      <c r="R17" s="53">
        <f>3164/5280</f>
        <v>0.59924242424242424</v>
      </c>
      <c r="S17" s="2" t="s">
        <v>31</v>
      </c>
      <c r="T17" s="29">
        <v>9441</v>
      </c>
      <c r="U17" s="33">
        <f t="shared" ref="U17:U21" si="1">T17*R17</f>
        <v>5657.4477272727272</v>
      </c>
    </row>
    <row r="18" spans="1:21" ht="15.75" thickBot="1" x14ac:dyDescent="0.3">
      <c r="A18" s="51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2"/>
      <c r="P18" s="19"/>
      <c r="Q18" s="25" t="s">
        <v>38</v>
      </c>
      <c r="R18" s="2">
        <f>17*4</f>
        <v>68</v>
      </c>
      <c r="S18" s="2" t="s">
        <v>32</v>
      </c>
      <c r="T18" s="29">
        <v>11.88</v>
      </c>
      <c r="U18" s="33">
        <f t="shared" si="1"/>
        <v>807.84</v>
      </c>
    </row>
    <row r="19" spans="1:21" ht="15.75" thickBot="1" x14ac:dyDescent="0.3">
      <c r="A19" s="52" t="s">
        <v>4</v>
      </c>
      <c r="B19" s="13">
        <f t="shared" ref="B19:I19" si="2">SUM(B4:B18)</f>
        <v>10137</v>
      </c>
      <c r="C19" s="13">
        <f t="shared" si="2"/>
        <v>2266</v>
      </c>
      <c r="D19" s="13">
        <f t="shared" si="2"/>
        <v>8307</v>
      </c>
      <c r="E19" s="13">
        <f t="shared" si="2"/>
        <v>1391</v>
      </c>
      <c r="F19" s="13">
        <f t="shared" si="2"/>
        <v>1153</v>
      </c>
      <c r="G19" s="13">
        <f t="shared" si="2"/>
        <v>336</v>
      </c>
      <c r="H19" s="13">
        <f t="shared" si="2"/>
        <v>270</v>
      </c>
      <c r="I19" s="13">
        <f t="shared" si="2"/>
        <v>762</v>
      </c>
      <c r="J19" s="13">
        <f>ROUNDUP(SUM(J4:J18),0)</f>
        <v>536</v>
      </c>
      <c r="K19" s="13">
        <f>SUM(K4:K18)</f>
        <v>2792</v>
      </c>
      <c r="L19" s="13">
        <f>SUM(L4:L18)</f>
        <v>1603</v>
      </c>
      <c r="M19" s="13">
        <f>SUM(M4:M18)</f>
        <v>295</v>
      </c>
      <c r="N19" s="13">
        <f>SUM(N4:N18)</f>
        <v>528</v>
      </c>
      <c r="O19" s="13">
        <f>SUM(O4:O18)</f>
        <v>4998</v>
      </c>
      <c r="Q19" s="25" t="s">
        <v>33</v>
      </c>
      <c r="R19" s="2">
        <v>1</v>
      </c>
      <c r="S19" s="2" t="s">
        <v>29</v>
      </c>
      <c r="T19" s="29">
        <v>25000</v>
      </c>
      <c r="U19" s="33">
        <f t="shared" si="1"/>
        <v>25000</v>
      </c>
    </row>
    <row r="20" spans="1:21" x14ac:dyDescent="0.25">
      <c r="L20" s="36"/>
      <c r="Q20" s="25" t="s">
        <v>82</v>
      </c>
      <c r="R20" s="2">
        <v>0.05</v>
      </c>
      <c r="S20" s="55" t="s">
        <v>31</v>
      </c>
      <c r="T20" s="29">
        <v>33700</v>
      </c>
      <c r="U20" s="33">
        <f t="shared" si="1"/>
        <v>1685</v>
      </c>
    </row>
    <row r="21" spans="1:21" x14ac:dyDescent="0.25">
      <c r="L21" s="36"/>
      <c r="Q21" s="25" t="s">
        <v>83</v>
      </c>
      <c r="R21" s="2">
        <v>0.1</v>
      </c>
      <c r="S21" s="2" t="s">
        <v>31</v>
      </c>
      <c r="T21" s="29">
        <v>24725</v>
      </c>
      <c r="U21" s="33">
        <f t="shared" si="1"/>
        <v>2472.5</v>
      </c>
    </row>
    <row r="22" spans="1:21" x14ac:dyDescent="0.25">
      <c r="L22" s="36"/>
      <c r="Q22" s="25"/>
      <c r="R22" s="2"/>
      <c r="S22" s="2"/>
      <c r="T22" s="29"/>
      <c r="U22" s="33"/>
    </row>
    <row r="23" spans="1:21" x14ac:dyDescent="0.25">
      <c r="L23" s="36"/>
      <c r="Q23" s="25"/>
      <c r="R23" s="2"/>
      <c r="S23" s="2"/>
      <c r="T23" s="29"/>
      <c r="U23" s="33"/>
    </row>
    <row r="24" spans="1:21" ht="14.25" customHeight="1" thickBot="1" x14ac:dyDescent="0.3">
      <c r="Q24" s="26"/>
      <c r="R24" s="7"/>
      <c r="S24" s="7"/>
      <c r="T24" s="30"/>
      <c r="U24" s="34"/>
    </row>
    <row r="25" spans="1:21" ht="15.75" thickBot="1" x14ac:dyDescent="0.3">
      <c r="A25" s="3"/>
      <c r="Q25" s="77" t="s">
        <v>21</v>
      </c>
      <c r="R25" s="78"/>
      <c r="S25" s="78"/>
      <c r="T25" s="78"/>
      <c r="U25" s="35">
        <f>ROUND(SUM(U16:U24),0)</f>
        <v>36776</v>
      </c>
    </row>
    <row r="26" spans="1:21" ht="15" customHeight="1" x14ac:dyDescent="0.25">
      <c r="Q26" s="8"/>
      <c r="R26" s="8"/>
      <c r="S26" s="8"/>
      <c r="T26" s="8"/>
      <c r="U26" s="8"/>
    </row>
    <row r="27" spans="1:21" ht="15" customHeight="1" thickBot="1" x14ac:dyDescent="0.3">
      <c r="R27" s="9"/>
      <c r="S27" s="9"/>
      <c r="T27" s="9"/>
      <c r="U27" s="9"/>
    </row>
    <row r="28" spans="1:21" ht="15" customHeight="1" x14ac:dyDescent="0.25">
      <c r="Q28" s="79" t="s">
        <v>17</v>
      </c>
      <c r="R28" s="80"/>
      <c r="S28" s="80"/>
      <c r="T28" s="81"/>
    </row>
    <row r="29" spans="1:21" ht="15.75" customHeight="1" thickBot="1" x14ac:dyDescent="0.3">
      <c r="Q29" s="82"/>
      <c r="R29" s="83"/>
      <c r="S29" s="83"/>
      <c r="T29" s="84"/>
    </row>
    <row r="30" spans="1:21" ht="15.75" thickBot="1" x14ac:dyDescent="0.3">
      <c r="P30" s="1"/>
      <c r="Q30" s="21" t="s">
        <v>23</v>
      </c>
      <c r="R30" s="22" t="s">
        <v>24</v>
      </c>
      <c r="S30" s="22" t="s">
        <v>28</v>
      </c>
      <c r="T30" s="22" t="s">
        <v>25</v>
      </c>
      <c r="U30" s="23" t="s">
        <v>26</v>
      </c>
    </row>
    <row r="31" spans="1:21" ht="15" customHeight="1" x14ac:dyDescent="0.25">
      <c r="Q31" s="24" t="s">
        <v>22</v>
      </c>
      <c r="R31" s="27">
        <f>D19</f>
        <v>8307</v>
      </c>
      <c r="S31" s="27" t="s">
        <v>30</v>
      </c>
      <c r="T31" s="50">
        <v>1.88</v>
      </c>
      <c r="U31" s="32">
        <f>T31*R31</f>
        <v>15617.16</v>
      </c>
    </row>
    <row r="32" spans="1:21" ht="15" customHeight="1" x14ac:dyDescent="0.25">
      <c r="Q32" s="25" t="s">
        <v>27</v>
      </c>
      <c r="R32" s="2">
        <v>55000</v>
      </c>
      <c r="S32" s="2" t="s">
        <v>29</v>
      </c>
      <c r="T32" s="29">
        <v>1</v>
      </c>
      <c r="U32" s="33">
        <f>T32*R32</f>
        <v>55000</v>
      </c>
    </row>
    <row r="33" spans="17:21" x14ac:dyDescent="0.25">
      <c r="Q33" s="25"/>
      <c r="R33" s="2"/>
      <c r="S33" s="2"/>
      <c r="T33" s="29"/>
      <c r="U33" s="33"/>
    </row>
    <row r="34" spans="17:21" x14ac:dyDescent="0.25">
      <c r="Q34" s="25"/>
      <c r="R34" s="2"/>
      <c r="S34" s="2"/>
      <c r="T34" s="29"/>
      <c r="U34" s="33"/>
    </row>
    <row r="35" spans="17:21" x14ac:dyDescent="0.25">
      <c r="Q35" s="25"/>
      <c r="R35" s="2"/>
      <c r="S35" s="2"/>
      <c r="T35" s="29"/>
      <c r="U35" s="33"/>
    </row>
    <row r="36" spans="17:21" ht="15.75" thickBot="1" x14ac:dyDescent="0.3">
      <c r="Q36" s="26"/>
      <c r="R36" s="7"/>
      <c r="S36" s="7"/>
      <c r="T36" s="30"/>
      <c r="U36" s="34"/>
    </row>
    <row r="37" spans="17:21" ht="15.75" thickBot="1" x14ac:dyDescent="0.3">
      <c r="Q37" s="77" t="s">
        <v>21</v>
      </c>
      <c r="R37" s="78"/>
      <c r="S37" s="78"/>
      <c r="T37" s="78"/>
      <c r="U37" s="35">
        <f>ROUND(SUM(U31:U36),0)</f>
        <v>70617</v>
      </c>
    </row>
    <row r="38" spans="17:21" ht="15.75" thickBot="1" x14ac:dyDescent="0.3"/>
    <row r="39" spans="17:21" x14ac:dyDescent="0.25">
      <c r="Q39" s="79" t="s">
        <v>7</v>
      </c>
      <c r="R39" s="80"/>
      <c r="S39" s="80"/>
      <c r="T39" s="81"/>
    </row>
    <row r="40" spans="17:21" ht="15.75" thickBot="1" x14ac:dyDescent="0.3">
      <c r="Q40" s="82"/>
      <c r="R40" s="83"/>
      <c r="S40" s="83"/>
      <c r="T40" s="84"/>
    </row>
    <row r="41" spans="17:21" ht="15.75" thickBot="1" x14ac:dyDescent="0.3">
      <c r="Q41" s="21" t="s">
        <v>23</v>
      </c>
      <c r="R41" s="22" t="s">
        <v>24</v>
      </c>
      <c r="S41" s="22" t="s">
        <v>28</v>
      </c>
      <c r="T41" s="22" t="s">
        <v>25</v>
      </c>
      <c r="U41" s="23" t="s">
        <v>26</v>
      </c>
    </row>
    <row r="42" spans="17:21" x14ac:dyDescent="0.25">
      <c r="Q42" s="24" t="s">
        <v>34</v>
      </c>
      <c r="R42" s="27">
        <v>1</v>
      </c>
      <c r="S42" s="27" t="s">
        <v>36</v>
      </c>
      <c r="T42" s="28">
        <v>100000</v>
      </c>
      <c r="U42" s="31">
        <f>T42*R42</f>
        <v>100000</v>
      </c>
    </row>
    <row r="43" spans="17:21" x14ac:dyDescent="0.25">
      <c r="Q43" s="25" t="s">
        <v>35</v>
      </c>
      <c r="R43" s="2">
        <v>1</v>
      </c>
      <c r="S43" s="2" t="s">
        <v>36</v>
      </c>
      <c r="T43" s="29">
        <v>20000</v>
      </c>
      <c r="U43" s="33">
        <f t="shared" ref="U43" si="3">T43*R43</f>
        <v>20000</v>
      </c>
    </row>
    <row r="44" spans="17:21" x14ac:dyDescent="0.25">
      <c r="Q44" s="25"/>
      <c r="R44" s="2"/>
      <c r="S44" s="2"/>
      <c r="T44" s="29"/>
      <c r="U44" s="33"/>
    </row>
    <row r="45" spans="17:21" x14ac:dyDescent="0.25">
      <c r="Q45" s="25"/>
      <c r="R45" s="2"/>
      <c r="S45" s="2"/>
      <c r="T45" s="29"/>
      <c r="U45" s="33"/>
    </row>
    <row r="46" spans="17:21" x14ac:dyDescent="0.25">
      <c r="Q46" s="25"/>
      <c r="R46" s="2"/>
      <c r="S46" s="2"/>
      <c r="T46" s="29"/>
      <c r="U46" s="33"/>
    </row>
    <row r="47" spans="17:21" ht="15.75" thickBot="1" x14ac:dyDescent="0.3">
      <c r="Q47" s="26"/>
      <c r="R47" s="7"/>
      <c r="S47" s="7"/>
      <c r="T47" s="30"/>
      <c r="U47" s="34"/>
    </row>
    <row r="48" spans="17:21" ht="15.75" thickBot="1" x14ac:dyDescent="0.3">
      <c r="Q48" s="77" t="s">
        <v>21</v>
      </c>
      <c r="R48" s="78"/>
      <c r="S48" s="78"/>
      <c r="T48" s="78"/>
      <c r="U48" s="35">
        <f>ROUND(SUM(U42:U47),0)</f>
        <v>120000</v>
      </c>
    </row>
  </sheetData>
  <mergeCells count="26">
    <mergeCell ref="AA11:AB11"/>
    <mergeCell ref="Q13:T14"/>
    <mergeCell ref="Q10:T10"/>
    <mergeCell ref="Q28:T29"/>
    <mergeCell ref="J2:J3"/>
    <mergeCell ref="K2:K3"/>
    <mergeCell ref="L2:L3"/>
    <mergeCell ref="M2:M3"/>
    <mergeCell ref="Q2:R3"/>
    <mergeCell ref="Q7:S7"/>
    <mergeCell ref="Q37:T37"/>
    <mergeCell ref="Q25:T25"/>
    <mergeCell ref="Q39:T40"/>
    <mergeCell ref="Q48:T48"/>
    <mergeCell ref="A1:O1"/>
    <mergeCell ref="A2:A3"/>
    <mergeCell ref="B2:B3"/>
    <mergeCell ref="C2:C3"/>
    <mergeCell ref="N2:N3"/>
    <mergeCell ref="I2:I3"/>
    <mergeCell ref="O2:O3"/>
    <mergeCell ref="E2:E3"/>
    <mergeCell ref="F2:F3"/>
    <mergeCell ref="G2:G3"/>
    <mergeCell ref="H2:H3"/>
    <mergeCell ref="D2:D3"/>
  </mergeCells>
  <phoneticPr fontId="3" type="noConversion"/>
  <pageMargins left="0.7" right="0.7" top="0.75" bottom="0.75" header="0.3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</vt:lpstr>
      <vt:lpstr>Quantities</vt:lpstr>
    </vt:vector>
  </TitlesOfParts>
  <Company>Ohio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Koenig</dc:creator>
  <cp:lastModifiedBy>Hetzel, Brianne</cp:lastModifiedBy>
  <cp:lastPrinted>2025-01-22T12:39:22Z</cp:lastPrinted>
  <dcterms:created xsi:type="dcterms:W3CDTF">2017-01-30T19:23:27Z</dcterms:created>
  <dcterms:modified xsi:type="dcterms:W3CDTF">2025-03-06T20:19:02Z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